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 TC\Họp HĐND\BC thu chi kết số 30.6\HĐND\"/>
    </mc:Choice>
  </mc:AlternateContent>
  <xr:revisionPtr revIDLastSave="0" documentId="13_ncr:1_{237962C6-49F8-468B-A5CD-073252ECDB9D}" xr6:coauthVersionLast="45" xr6:coauthVersionMax="45" xr10:uidLastSave="{00000000-0000-0000-0000-000000000000}"/>
  <bookViews>
    <workbookView xWindow="-98" yWindow="-98" windowWidth="22695" windowHeight="14595" activeTab="2" xr2:uid="{00000000-000D-0000-FFFF-FFFF00000000}"/>
  </bookViews>
  <sheets>
    <sheet name="BC Thu" sheetId="1" r:id="rId1"/>
    <sheet name="BC Chi" sheetId="4" r:id="rId2"/>
    <sheet name="Ứng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9" i="4" l="1"/>
  <c r="L9" i="4"/>
  <c r="I9" i="4"/>
  <c r="R9" i="4" l="1"/>
  <c r="R10" i="4"/>
  <c r="R11" i="4"/>
  <c r="H17" i="4" l="1"/>
  <c r="H11" i="4"/>
  <c r="H10" i="4"/>
  <c r="H9" i="4"/>
  <c r="J9" i="4" l="1"/>
  <c r="J14" i="4" l="1"/>
  <c r="J36" i="4" l="1"/>
  <c r="J38" i="4"/>
  <c r="H104" i="1"/>
  <c r="J40" i="4"/>
  <c r="K19" i="4"/>
  <c r="J19" i="4"/>
  <c r="K29" i="4"/>
  <c r="J29" i="4"/>
  <c r="K28" i="4"/>
  <c r="J28" i="4"/>
  <c r="K27" i="4"/>
  <c r="J27" i="4"/>
  <c r="K26" i="4"/>
  <c r="J26" i="4"/>
  <c r="K25" i="4"/>
  <c r="J25" i="4"/>
  <c r="J24" i="4"/>
  <c r="K23" i="4"/>
  <c r="J23" i="4"/>
  <c r="J22" i="4"/>
  <c r="K20" i="4"/>
  <c r="J20" i="4"/>
  <c r="K18" i="4"/>
  <c r="J18" i="4"/>
  <c r="J102" i="1"/>
  <c r="J100" i="1"/>
  <c r="G37" i="1"/>
  <c r="G50" i="1"/>
  <c r="G48" i="1"/>
  <c r="G47" i="1"/>
  <c r="I52" i="1"/>
  <c r="J38" i="1"/>
  <c r="I32" i="1"/>
  <c r="H32" i="1"/>
  <c r="I29" i="1"/>
  <c r="I26" i="1"/>
  <c r="H26" i="1"/>
  <c r="I23" i="1"/>
  <c r="H23" i="1"/>
  <c r="H27" i="4" l="1"/>
  <c r="H20" i="4"/>
  <c r="F27" i="4" l="1"/>
  <c r="H29" i="4"/>
  <c r="H16" i="4"/>
  <c r="H15" i="4"/>
  <c r="H21" i="4"/>
  <c r="H19" i="4"/>
  <c r="H22" i="4"/>
  <c r="H23" i="4"/>
  <c r="H24" i="4"/>
  <c r="H25" i="4"/>
  <c r="H26" i="4"/>
  <c r="H28" i="4"/>
  <c r="H30" i="4"/>
  <c r="H31" i="4"/>
  <c r="H18" i="4"/>
  <c r="H13" i="4"/>
  <c r="H12" i="4"/>
  <c r="F17" i="4"/>
  <c r="F11" i="4"/>
  <c r="F10" i="4" s="1"/>
  <c r="F9" i="4" l="1"/>
  <c r="F41" i="4" l="1"/>
  <c r="J11" i="4" l="1"/>
  <c r="K11" i="4"/>
  <c r="I12" i="4" l="1"/>
  <c r="I13" i="4"/>
  <c r="I14" i="4"/>
  <c r="I15" i="4"/>
  <c r="K10" i="4"/>
  <c r="G28" i="4"/>
  <c r="G27" i="4"/>
  <c r="E11" i="4"/>
  <c r="E10" i="4" s="1"/>
  <c r="G23" i="4"/>
  <c r="G20" i="4"/>
  <c r="I11" i="4" l="1"/>
  <c r="E17" i="4"/>
  <c r="G17" i="4"/>
  <c r="G11" i="4"/>
  <c r="G10" i="4" s="1"/>
  <c r="N12" i="4"/>
  <c r="N13" i="4"/>
  <c r="H14" i="4"/>
  <c r="N14" i="4" s="1"/>
  <c r="H33" i="4"/>
  <c r="H34" i="4"/>
  <c r="H39" i="4"/>
  <c r="H40" i="4"/>
  <c r="D11" i="4"/>
  <c r="D10" i="4" s="1"/>
  <c r="C11" i="4"/>
  <c r="C10" i="4" s="1"/>
  <c r="G9" i="4" l="1"/>
  <c r="E9" i="4"/>
  <c r="E41" i="4" s="1"/>
  <c r="I40" i="4" l="1"/>
  <c r="I39" i="4"/>
  <c r="I38" i="4"/>
  <c r="D38" i="4"/>
  <c r="H38" i="4" s="1"/>
  <c r="C38" i="4"/>
  <c r="C37" i="4" s="1"/>
  <c r="I36" i="4"/>
  <c r="D36" i="4"/>
  <c r="H36" i="4" s="1"/>
  <c r="C36" i="4"/>
  <c r="C35" i="4" s="1"/>
  <c r="K35" i="4"/>
  <c r="G35" i="4"/>
  <c r="I33" i="4"/>
  <c r="I32" i="4"/>
  <c r="N32" i="4" s="1"/>
  <c r="D32" i="4"/>
  <c r="H32" i="4" s="1"/>
  <c r="I31" i="4"/>
  <c r="C31" i="4"/>
  <c r="I30" i="4"/>
  <c r="N30" i="4" s="1"/>
  <c r="D30" i="4"/>
  <c r="D29" i="4"/>
  <c r="D28" i="4"/>
  <c r="D27" i="4"/>
  <c r="I26" i="4"/>
  <c r="N26" i="4" s="1"/>
  <c r="D26" i="4"/>
  <c r="D25" i="4"/>
  <c r="I24" i="4"/>
  <c r="D24" i="4"/>
  <c r="I23" i="4"/>
  <c r="N23" i="4" s="1"/>
  <c r="D23" i="4"/>
  <c r="I22" i="4"/>
  <c r="C22" i="4"/>
  <c r="I21" i="4"/>
  <c r="C21" i="4"/>
  <c r="I20" i="4"/>
  <c r="D20" i="4"/>
  <c r="D19" i="4"/>
  <c r="D18" i="4"/>
  <c r="C18" i="4"/>
  <c r="I16" i="4"/>
  <c r="N24" i="4" l="1"/>
  <c r="M21" i="4"/>
  <c r="N21" i="4"/>
  <c r="N38" i="4"/>
  <c r="M22" i="4"/>
  <c r="N22" i="4"/>
  <c r="M31" i="4"/>
  <c r="N31" i="4"/>
  <c r="N36" i="4"/>
  <c r="M20" i="4"/>
  <c r="N20" i="4"/>
  <c r="I18" i="4"/>
  <c r="I29" i="4"/>
  <c r="I27" i="4"/>
  <c r="N27" i="4" s="1"/>
  <c r="C30" i="4"/>
  <c r="L30" i="4" s="1"/>
  <c r="I25" i="4"/>
  <c r="C25" i="4"/>
  <c r="I28" i="4"/>
  <c r="D17" i="4"/>
  <c r="C24" i="4"/>
  <c r="L24" i="4" s="1"/>
  <c r="C29" i="4"/>
  <c r="C19" i="4"/>
  <c r="D37" i="4"/>
  <c r="H37" i="4" s="1"/>
  <c r="C20" i="4"/>
  <c r="L20" i="4" s="1"/>
  <c r="C23" i="4"/>
  <c r="L23" i="4" s="1"/>
  <c r="C26" i="4"/>
  <c r="L26" i="4" s="1"/>
  <c r="C27" i="4"/>
  <c r="C28" i="4"/>
  <c r="C32" i="4"/>
  <c r="L21" i="4"/>
  <c r="L22" i="4"/>
  <c r="M32" i="4"/>
  <c r="G41" i="4"/>
  <c r="I19" i="4"/>
  <c r="N19" i="4" s="1"/>
  <c r="J17" i="4"/>
  <c r="K17" i="4"/>
  <c r="K9" i="4" s="1"/>
  <c r="K41" i="4" s="1"/>
  <c r="M30" i="4"/>
  <c r="L31" i="4"/>
  <c r="M26" i="4"/>
  <c r="M23" i="4"/>
  <c r="M24" i="4"/>
  <c r="L36" i="4"/>
  <c r="M36" i="4"/>
  <c r="M18" i="4"/>
  <c r="J10" i="4"/>
  <c r="J37" i="4"/>
  <c r="L27" i="4" l="1"/>
  <c r="L29" i="4"/>
  <c r="M25" i="4"/>
  <c r="N25" i="4"/>
  <c r="I17" i="4"/>
  <c r="N17" i="4" s="1"/>
  <c r="N18" i="4"/>
  <c r="M29" i="4"/>
  <c r="N29" i="4"/>
  <c r="L18" i="4"/>
  <c r="M19" i="4"/>
  <c r="M28" i="4"/>
  <c r="N28" i="4"/>
  <c r="M27" i="4"/>
  <c r="D9" i="4"/>
  <c r="L25" i="4"/>
  <c r="D35" i="4"/>
  <c r="H35" i="4" s="1"/>
  <c r="C17" i="4"/>
  <c r="C9" i="4" s="1"/>
  <c r="C41" i="4" s="1"/>
  <c r="L28" i="4"/>
  <c r="L19" i="4"/>
  <c r="I37" i="4"/>
  <c r="N37" i="4" s="1"/>
  <c r="J35" i="4"/>
  <c r="N11" i="4" l="1"/>
  <c r="I10" i="4"/>
  <c r="N10" i="4" s="1"/>
  <c r="M17" i="4"/>
  <c r="D41" i="4"/>
  <c r="H41" i="4" s="1"/>
  <c r="L17" i="4"/>
  <c r="J41" i="4"/>
  <c r="L37" i="4"/>
  <c r="M37" i="4"/>
  <c r="I35" i="4"/>
  <c r="N35" i="4" s="1"/>
  <c r="M11" i="4"/>
  <c r="L11" i="4"/>
  <c r="L35" i="4" l="1"/>
  <c r="M35" i="4"/>
  <c r="M10" i="4"/>
  <c r="L10" i="4"/>
  <c r="M9" i="4" l="1"/>
  <c r="I41" i="4"/>
  <c r="N41" i="4" s="1"/>
  <c r="M41" i="4" l="1"/>
  <c r="L41" i="4"/>
  <c r="C9" i="3" l="1"/>
  <c r="C8" i="3" s="1"/>
  <c r="C7" i="3" s="1"/>
  <c r="C11" i="3"/>
  <c r="N9" i="3"/>
  <c r="G6" i="3"/>
  <c r="C12" i="3" l="1"/>
  <c r="C13" i="3" s="1"/>
  <c r="E32" i="1"/>
  <c r="E29" i="1"/>
  <c r="E28" i="1"/>
  <c r="E27" i="1"/>
  <c r="E24" i="1"/>
  <c r="E23" i="1"/>
  <c r="E18" i="1"/>
  <c r="D32" i="1"/>
  <c r="D29" i="1"/>
  <c r="D28" i="1"/>
  <c r="D27" i="1"/>
  <c r="D24" i="1"/>
  <c r="D23" i="1"/>
  <c r="D18" i="1"/>
  <c r="G55" i="1"/>
  <c r="H56" i="1"/>
  <c r="H55" i="1"/>
  <c r="H41" i="1"/>
  <c r="H27" i="1"/>
  <c r="H24" i="1"/>
  <c r="H19" i="1"/>
  <c r="H18" i="1"/>
  <c r="H17" i="1"/>
  <c r="H15" i="1"/>
  <c r="H13" i="1"/>
  <c r="J105" i="1"/>
  <c r="I105" i="1"/>
  <c r="J37" i="1"/>
  <c r="J31" i="1"/>
  <c r="J29" i="1"/>
  <c r="I102" i="1"/>
  <c r="I100" i="1"/>
  <c r="I51" i="1"/>
  <c r="I50" i="1"/>
  <c r="I47" i="1"/>
  <c r="I41" i="1"/>
  <c r="I39" i="1"/>
  <c r="I38" i="1"/>
  <c r="I27" i="1"/>
  <c r="I25" i="1"/>
  <c r="I24" i="1"/>
  <c r="I18" i="1"/>
  <c r="I17" i="1"/>
  <c r="I13" i="1"/>
  <c r="E26" i="1" l="1"/>
  <c r="F106" i="1"/>
  <c r="F105" i="1"/>
  <c r="F104" i="1"/>
  <c r="F103" i="1"/>
  <c r="F102" i="1"/>
  <c r="K102" i="1" s="1"/>
  <c r="J101" i="1"/>
  <c r="J99" i="1" s="1"/>
  <c r="J98" i="1" s="1"/>
  <c r="H101" i="1"/>
  <c r="H99" i="1" s="1"/>
  <c r="H98" i="1" s="1"/>
  <c r="G101" i="1"/>
  <c r="G99" i="1" s="1"/>
  <c r="G98" i="1" s="1"/>
  <c r="E101" i="1"/>
  <c r="E99" i="1" s="1"/>
  <c r="E98" i="1" s="1"/>
  <c r="D101" i="1"/>
  <c r="D99" i="1" s="1"/>
  <c r="D98" i="1" s="1"/>
  <c r="C101" i="1"/>
  <c r="C99" i="1" s="1"/>
  <c r="C98" i="1" s="1"/>
  <c r="F100" i="1"/>
  <c r="F97" i="1"/>
  <c r="F96" i="1"/>
  <c r="F95" i="1"/>
  <c r="C95" i="1"/>
  <c r="F94" i="1"/>
  <c r="F93" i="1"/>
  <c r="F92" i="1"/>
  <c r="C92" i="1"/>
  <c r="C91" i="1" s="1"/>
  <c r="F91" i="1"/>
  <c r="F90" i="1"/>
  <c r="F89" i="1"/>
  <c r="F88" i="1"/>
  <c r="F87" i="1"/>
  <c r="F86" i="1"/>
  <c r="F85" i="1"/>
  <c r="C85" i="1"/>
  <c r="F84" i="1"/>
  <c r="F83" i="1"/>
  <c r="F82" i="1"/>
  <c r="C82" i="1"/>
  <c r="F81" i="1"/>
  <c r="F80" i="1"/>
  <c r="F79" i="1"/>
  <c r="F78" i="1"/>
  <c r="F77" i="1"/>
  <c r="F76" i="1"/>
  <c r="F75" i="1"/>
  <c r="F74" i="1"/>
  <c r="F73" i="1"/>
  <c r="F72" i="1"/>
  <c r="F71" i="1"/>
  <c r="C71" i="1"/>
  <c r="F70" i="1"/>
  <c r="F69" i="1"/>
  <c r="F68" i="1"/>
  <c r="F67" i="1"/>
  <c r="F66" i="1"/>
  <c r="F65" i="1"/>
  <c r="F64" i="1"/>
  <c r="F63" i="1"/>
  <c r="F62" i="1"/>
  <c r="F61" i="1"/>
  <c r="F60" i="1"/>
  <c r="C60" i="1"/>
  <c r="F59" i="1"/>
  <c r="F58" i="1"/>
  <c r="F57" i="1"/>
  <c r="I54" i="1"/>
  <c r="F55" i="1"/>
  <c r="J54" i="1"/>
  <c r="G54" i="1"/>
  <c r="E54" i="1"/>
  <c r="D54" i="1"/>
  <c r="C54" i="1"/>
  <c r="F53" i="1"/>
  <c r="F52" i="1"/>
  <c r="F51" i="1"/>
  <c r="I46" i="1"/>
  <c r="F50" i="1"/>
  <c r="F49" i="1"/>
  <c r="J46" i="1"/>
  <c r="E46" i="1"/>
  <c r="D46" i="1"/>
  <c r="F45" i="1"/>
  <c r="F44" i="1"/>
  <c r="F43" i="1"/>
  <c r="F42" i="1"/>
  <c r="C40" i="1"/>
  <c r="F39" i="1"/>
  <c r="L39" i="1" s="1"/>
  <c r="F38" i="1"/>
  <c r="G36" i="1"/>
  <c r="H36" i="1"/>
  <c r="F35" i="1"/>
  <c r="F34" i="1"/>
  <c r="F33" i="1"/>
  <c r="F32" i="1"/>
  <c r="F31" i="1"/>
  <c r="F30" i="1"/>
  <c r="F29" i="1"/>
  <c r="K29" i="1" s="1"/>
  <c r="F28" i="1"/>
  <c r="K28" i="1" s="1"/>
  <c r="F27" i="1"/>
  <c r="L27" i="1" s="1"/>
  <c r="F26" i="1"/>
  <c r="E22" i="1"/>
  <c r="D26" i="1"/>
  <c r="D22" i="1" s="1"/>
  <c r="F25" i="1"/>
  <c r="F23" i="1"/>
  <c r="J22" i="1"/>
  <c r="G22" i="1"/>
  <c r="C22" i="1"/>
  <c r="F21" i="1"/>
  <c r="F20" i="1" s="1"/>
  <c r="J20" i="1"/>
  <c r="I20" i="1"/>
  <c r="H20" i="1"/>
  <c r="G20" i="1"/>
  <c r="E20" i="1"/>
  <c r="D20" i="1"/>
  <c r="C20" i="1"/>
  <c r="F19" i="1"/>
  <c r="F18" i="1"/>
  <c r="F17" i="1"/>
  <c r="J16" i="1"/>
  <c r="I16" i="1"/>
  <c r="G16" i="1"/>
  <c r="E16" i="1"/>
  <c r="D16" i="1"/>
  <c r="C16" i="1"/>
  <c r="F15" i="1"/>
  <c r="F14" i="1"/>
  <c r="F13" i="1"/>
  <c r="J12" i="1"/>
  <c r="I12" i="1"/>
  <c r="G12" i="1"/>
  <c r="E12" i="1"/>
  <c r="D12" i="1"/>
  <c r="C12" i="1"/>
  <c r="H16" i="1" l="1"/>
  <c r="F48" i="1"/>
  <c r="K26" i="1"/>
  <c r="F40" i="1"/>
  <c r="K40" i="1" s="1"/>
  <c r="F41" i="1"/>
  <c r="K41" i="1" s="1"/>
  <c r="K100" i="1"/>
  <c r="L100" i="1"/>
  <c r="E11" i="1"/>
  <c r="E10" i="1" s="1"/>
  <c r="E9" i="1" s="1"/>
  <c r="F12" i="1"/>
  <c r="L28" i="1"/>
  <c r="J36" i="1"/>
  <c r="J11" i="1" s="1"/>
  <c r="J10" i="1" s="1"/>
  <c r="J9" i="1" s="1"/>
  <c r="F47" i="1"/>
  <c r="F46" i="1" s="1"/>
  <c r="H54" i="1"/>
  <c r="F56" i="1"/>
  <c r="F54" i="1" s="1"/>
  <c r="D11" i="1"/>
  <c r="D10" i="1" s="1"/>
  <c r="D9" i="1" s="1"/>
  <c r="K39" i="1"/>
  <c r="C11" i="1"/>
  <c r="C10" i="1" s="1"/>
  <c r="C9" i="1" s="1"/>
  <c r="F24" i="1"/>
  <c r="F22" i="1" s="1"/>
  <c r="K22" i="1" s="1"/>
  <c r="K27" i="1"/>
  <c r="I36" i="1"/>
  <c r="L102" i="1"/>
  <c r="L18" i="1"/>
  <c r="K18" i="1"/>
  <c r="L23" i="1"/>
  <c r="K23" i="1"/>
  <c r="K32" i="1"/>
  <c r="L32" i="1"/>
  <c r="K38" i="1"/>
  <c r="L38" i="1"/>
  <c r="L55" i="1"/>
  <c r="K55" i="1"/>
  <c r="L29" i="1"/>
  <c r="F16" i="1"/>
  <c r="H22" i="1"/>
  <c r="G46" i="1"/>
  <c r="G11" i="1" s="1"/>
  <c r="G10" i="1" s="1"/>
  <c r="I22" i="1"/>
  <c r="I11" i="1" s="1"/>
  <c r="F37" i="1"/>
  <c r="F36" i="1" s="1"/>
  <c r="H46" i="1"/>
  <c r="H12" i="1"/>
  <c r="L26" i="1"/>
  <c r="I101" i="1"/>
  <c r="K24" i="1" l="1"/>
  <c r="L24" i="1"/>
  <c r="I10" i="1"/>
  <c r="I9" i="1" s="1"/>
  <c r="L47" i="1"/>
  <c r="K47" i="1"/>
  <c r="L40" i="1"/>
  <c r="L41" i="1"/>
  <c r="G9" i="1"/>
  <c r="I99" i="1"/>
  <c r="I98" i="1" s="1"/>
  <c r="F101" i="1"/>
  <c r="K16" i="1"/>
  <c r="L16" i="1"/>
  <c r="L36" i="1"/>
  <c r="K36" i="1"/>
  <c r="L46" i="1"/>
  <c r="K46" i="1"/>
  <c r="K54" i="1"/>
  <c r="L54" i="1"/>
  <c r="H11" i="1"/>
  <c r="H10" i="1" s="1"/>
  <c r="H9" i="1" s="1"/>
  <c r="F11" i="1"/>
  <c r="L22" i="1"/>
  <c r="F9" i="1" l="1"/>
  <c r="K9" i="1" s="1"/>
  <c r="K11" i="1"/>
  <c r="L11" i="1"/>
  <c r="L101" i="1"/>
  <c r="K101" i="1"/>
  <c r="F99" i="1"/>
  <c r="F98" i="1" s="1"/>
  <c r="F10" i="1"/>
  <c r="K10" i="1" s="1"/>
  <c r="L10" i="1" l="1"/>
  <c r="K99" i="1"/>
  <c r="L99" i="1"/>
  <c r="L9" i="1"/>
  <c r="L98" i="1" l="1"/>
  <c r="K98" i="1"/>
</calcChain>
</file>

<file path=xl/sharedStrings.xml><?xml version="1.0" encoding="utf-8"?>
<sst xmlns="http://schemas.openxmlformats.org/spreadsheetml/2006/main" count="264" uniqueCount="203">
  <si>
    <t>STT</t>
  </si>
  <si>
    <t>Nội dung</t>
  </si>
  <si>
    <t>Thực hiện năm 2016</t>
  </si>
  <si>
    <t>Phân chia theo từng cấp ngân sách</t>
  </si>
  <si>
    <t>So sánh TH/DT (%)</t>
  </si>
  <si>
    <t>Tỉnh giao</t>
  </si>
  <si>
    <t>HĐND huyện quyết định</t>
  </si>
  <si>
    <t>Thu NS TW</t>
  </si>
  <si>
    <t>Thu NS cấp tỉnh</t>
  </si>
  <si>
    <t>Thu NS cấp huyện</t>
  </si>
  <si>
    <t>Thu NS xã</t>
  </si>
  <si>
    <t>HĐND quyết định</t>
  </si>
  <si>
    <t>A</t>
  </si>
  <si>
    <t>B</t>
  </si>
  <si>
    <t>C</t>
  </si>
  <si>
    <t>3=4+5+6+7</t>
  </si>
  <si>
    <t>8=3/1</t>
  </si>
  <si>
    <t>9=3/2</t>
  </si>
  <si>
    <t>TỔNG SỐ (A+B+C+D+E)</t>
  </si>
  <si>
    <t>THU NGÂN SÁCH NHÀ NƯỚC</t>
  </si>
  <si>
    <t>I</t>
  </si>
  <si>
    <t>Thu trên địa bàn</t>
  </si>
  <si>
    <t>Thu từ khu vực doanh nghiệp nhà nước do Trung ương quản lý</t>
  </si>
  <si>
    <t>-</t>
  </si>
  <si>
    <t xml:space="preserve"> Thuế giá trị gia tăng</t>
  </si>
  <si>
    <t xml:space="preserve"> Thuế thu nhập doanh nghiệp</t>
  </si>
  <si>
    <t xml:space="preserve"> Thuế tài nguyên</t>
  </si>
  <si>
    <t>Thu từ khu vực doanh nghiệp nhà nước do địa phương quản lý</t>
  </si>
  <si>
    <t>Thu từ khu vực doanh nghiệp có vốn đầu tư nước ngoài</t>
  </si>
  <si>
    <t>Thu từ khu vực kinh tế ngoài quốc doanh</t>
  </si>
  <si>
    <t>Thuế giá trị gia tăng</t>
  </si>
  <si>
    <t>Thuế thu nhập doanh nghiệp</t>
  </si>
  <si>
    <t>Thuế tiêu thụ đặc biệt</t>
  </si>
  <si>
    <t>Thuế tài nguyên</t>
  </si>
  <si>
    <t>Trong đó: Thuế tài nguyên nước</t>
  </si>
  <si>
    <t>Thuế tài nguyên khác</t>
  </si>
  <si>
    <t>Lệ phí trước bạ</t>
  </si>
  <si>
    <t>Thuế sử dụng đất nông nghiệp</t>
  </si>
  <si>
    <t>Thuế sử dụng đất phi nông nghiệp</t>
  </si>
  <si>
    <t>Thuế thu nhập cá nhân</t>
  </si>
  <si>
    <t>Thuế bảo vệ môi trường</t>
  </si>
  <si>
    <t>Trong đó: - Thu từ hàng hóa nhập khẩu</t>
  </si>
  <si>
    <t>- Thu từ hàng hóa sản xuất trong nước</t>
  </si>
  <si>
    <t>Phí, lệ phí</t>
  </si>
  <si>
    <t>Bao gồm: Phí, lệ phí do cơ quan nhà nước trung ương thu</t>
  </si>
  <si>
    <t xml:space="preserve"> Phí, lệ phí do cơ quan nhà nước địa phương thu</t>
  </si>
  <si>
    <t>Trong đó: phí bảo vệ môi trường đối với khai thác khoáng sản</t>
  </si>
  <si>
    <t>Tiền sử dụng đất</t>
  </si>
  <si>
    <t>12</t>
  </si>
  <si>
    <t>Thu tiền thuê đất, mặt nước</t>
  </si>
  <si>
    <t>Thu tiền sử dụng khu vực biển</t>
  </si>
  <si>
    <t>Thu từ bán tài sản nhà nước</t>
  </si>
  <si>
    <t>Thu từ tài sản được xác lập quyền sở hữu của nhà nước</t>
  </si>
  <si>
    <t>Thu tiền cho thuê và bán nhà ở thuộc sở hữu nhà nước</t>
  </si>
  <si>
    <t>Thu khác ngân sách</t>
  </si>
  <si>
    <t>Thu tiền phạt:</t>
  </si>
  <si>
    <t>+</t>
  </si>
  <si>
    <t xml:space="preserve"> Thu phạt ATGT</t>
  </si>
  <si>
    <t xml:space="preserve"> Tịch thu</t>
  </si>
  <si>
    <t>Thu tiền cho thuê, bán tài sản khác</t>
  </si>
  <si>
    <t>Các khoản thu khác</t>
  </si>
  <si>
    <t>Thu tiền cấp quyền khai thác khoáng sản</t>
  </si>
  <si>
    <t>Trong đó: - Giấy phép do Trung ương cấp</t>
  </si>
  <si>
    <t>- Giấy phép do Ủy ban nhân dân cấp tỉnh cấp</t>
  </si>
  <si>
    <t>Thu từ quỹ đất công ích và thu hoa lợi công sản khác</t>
  </si>
  <si>
    <t>Thu cổ tức và lợi nhuận sau thuế</t>
  </si>
  <si>
    <t>Thu từ hoạt động xổ số kiến thiết (kể cả xổ số điện toán)</t>
  </si>
  <si>
    <t>II</t>
  </si>
  <si>
    <t>Thu về dầu thô</t>
  </si>
  <si>
    <t xml:space="preserve">Thu về dầu thô theo hiệp định, hợp đồng </t>
  </si>
  <si>
    <t>1.1</t>
  </si>
  <si>
    <t>1.2</t>
  </si>
  <si>
    <t>1.3</t>
  </si>
  <si>
    <t>Lợi nhuận sau thuế được chia của Chính phủ Việt Nam</t>
  </si>
  <si>
    <t>1.4</t>
  </si>
  <si>
    <t>Dầu lãi được chia của Chính phủ Việt Nam</t>
  </si>
  <si>
    <t>1.5</t>
  </si>
  <si>
    <t xml:space="preserve">Thuế đặc biệt </t>
  </si>
  <si>
    <t>1.6</t>
  </si>
  <si>
    <t>Thu khác</t>
  </si>
  <si>
    <t xml:space="preserve">Thu về Condensate theo hiệp định, hợp đồng. </t>
  </si>
  <si>
    <t>Phụ thu về dầu, khí</t>
  </si>
  <si>
    <t>Thu về khí thiên nhiên (không bao gồm doanh nghiệp có vốn đầu tư nước ngoài)</t>
  </si>
  <si>
    <t>III</t>
  </si>
  <si>
    <t>Thu Hải quan</t>
  </si>
  <si>
    <t>Thuế xuất khẩu</t>
  </si>
  <si>
    <t>Thuế nhập khẩu</t>
  </si>
  <si>
    <t>Thuế tiêu thụ đặc biệt hàng nhập khẩu</t>
  </si>
  <si>
    <t>Thuế giá trị gia tăng hàng nhập khẩu</t>
  </si>
  <si>
    <t>Thuế bổ sung đối với hàng hóa nhập khẩu vào Việt Nam</t>
  </si>
  <si>
    <t>Thu chênh lệch giá hàng xuất nhập khẩu</t>
  </si>
  <si>
    <t>Thuế bảo vệ môi trường do cơ quan hải quan thực hiện</t>
  </si>
  <si>
    <t>Phí, lệ phí hải quan</t>
  </si>
  <si>
    <t>Thu Viện trợ</t>
  </si>
  <si>
    <t>Các khoản huy động, đóng góp</t>
  </si>
  <si>
    <t>Các khoản huy động đóng góp xây dựng cơ sở hạ tầng</t>
  </si>
  <si>
    <t>Các khoản huy động đóng góp khác, ghi thu ghi chi</t>
  </si>
  <si>
    <t>VI</t>
  </si>
  <si>
    <t>Thu hồi vốn của Nhà nước và thu từ quỹ dự trữ tài chính</t>
  </si>
  <si>
    <t>Thu từ bán cổ phần, vốn góp của Nhà nước nộp ngân sách</t>
  </si>
  <si>
    <t>Thu từ các khoản cho vay của ngân sách</t>
  </si>
  <si>
    <t>2.1</t>
  </si>
  <si>
    <t>Thu nợ gốc cho vay</t>
  </si>
  <si>
    <t>2.2</t>
  </si>
  <si>
    <t>Thu lãi cho vay</t>
  </si>
  <si>
    <t>Thu từ quỹ dự trữ tài chính</t>
  </si>
  <si>
    <t>VAY CỦA NGÂN SÁCH ĐỊA PHƯƠNG</t>
  </si>
  <si>
    <t>Vay bù đắp bội chi NSĐP</t>
  </si>
  <si>
    <t>Vay trong nước</t>
  </si>
  <si>
    <t>Vay lại từ nguồn Chính phủ vay ngoài nước</t>
  </si>
  <si>
    <t>Vay để trả nợ gốc vay</t>
  </si>
  <si>
    <t>THU CHUYỂN GIAO NGÂN SÁCH</t>
  </si>
  <si>
    <t>Thu bổ sung từ ngân sách cấp trên</t>
  </si>
  <si>
    <t>1.</t>
  </si>
  <si>
    <t xml:space="preserve">Bổ sung cân đối </t>
  </si>
  <si>
    <t>2.</t>
  </si>
  <si>
    <t>Bổ sung có mục tiêu</t>
  </si>
  <si>
    <t xml:space="preserve">Bổ sung có mục tiêu bằng nguồn vốn trong nước </t>
  </si>
  <si>
    <t>Bổ sung có mục tiêu bằng nguồn vốn ngoài nước</t>
  </si>
  <si>
    <t>Thu từ ngân sách cấp dưới nộp lên</t>
  </si>
  <si>
    <t>D</t>
  </si>
  <si>
    <t>THU CHUYỂN NGUỒN</t>
  </si>
  <si>
    <t>E</t>
  </si>
  <si>
    <t>THU KẾT DƯ NGÂN SÁCH</t>
  </si>
  <si>
    <t>TT</t>
  </si>
  <si>
    <t>Nội dung chi</t>
  </si>
  <si>
    <t>So sánh TH/DT(%)</t>
  </si>
  <si>
    <t>Tổng số Chi NSĐP</t>
  </si>
  <si>
    <t>Chi NS cấp huyện</t>
  </si>
  <si>
    <t>Chi NS xã</t>
  </si>
  <si>
    <t>CHI NGÂN SÁCH ĐỊA PHƯƠNG</t>
  </si>
  <si>
    <t>Chi đầu tư phát triển</t>
  </si>
  <si>
    <t>Chi quốc phòng</t>
  </si>
  <si>
    <t>Chi đầu tư phát triển khác</t>
  </si>
  <si>
    <t>Chi trả nợ lãi vay theo quy định</t>
  </si>
  <si>
    <t>Chi thường xuyên</t>
  </si>
  <si>
    <t>Chi an ninh và trật tự, an toàn xã hội</t>
  </si>
  <si>
    <t>Chi giáo dục và đào tạo</t>
  </si>
  <si>
    <t>Chi sự nghiệp công nghệ</t>
  </si>
  <si>
    <t>Chi sự nghiệp y tế</t>
  </si>
  <si>
    <t>Chi sự nghiệp văn hoá , thông tin</t>
  </si>
  <si>
    <t>Chi sự nghiệp phát thanh truyền hình</t>
  </si>
  <si>
    <t>Chi sự nghiệp thể dục thể thao</t>
  </si>
  <si>
    <t>Chi sự nghiệp môi trường</t>
  </si>
  <si>
    <t>Chi sự nghiệp kinh tế</t>
  </si>
  <si>
    <t>Chi quản lý hành chính</t>
  </si>
  <si>
    <t>Chi sự nghiệp đảm bảo xã hội</t>
  </si>
  <si>
    <t>Các khoản chi khác</t>
  </si>
  <si>
    <t>Chi cho vay (ủy thác cho vay hộ nghèo, hộ chính sách xã hội)</t>
  </si>
  <si>
    <t>IV</t>
  </si>
  <si>
    <t>Dự phòng ngân sách</t>
  </si>
  <si>
    <t>V</t>
  </si>
  <si>
    <t>Chi chuyển nguồn</t>
  </si>
  <si>
    <t>Ghi thu, ghi chi (học phí)</t>
  </si>
  <si>
    <t>CHI BỔ SUNG CHO NGÂN SÁCH CẤP DƯỚI</t>
  </si>
  <si>
    <t>Bổ sung cân đối</t>
  </si>
  <si>
    <t>Tr. đó: - Bằng nguồn vốn trong nước</t>
  </si>
  <si>
    <t xml:space="preserve">           - Bằng nguồn vốn ngoài nước</t>
  </si>
  <si>
    <t>CHI NỘP NGÂN SÁCH CẤP TRÊN</t>
  </si>
  <si>
    <t>TỔNG SỐ (A+B+C+D)</t>
  </si>
  <si>
    <t>Dự toán năm 2023</t>
  </si>
  <si>
    <t>Thực hiện năm 2023</t>
  </si>
  <si>
    <t>Thu hồi các khoản chi năm trước</t>
  </si>
  <si>
    <t>Biểu số 01</t>
  </si>
  <si>
    <t>UBND HUYỆN TU MƠ RÔNG</t>
  </si>
  <si>
    <t>Biểu số 02</t>
  </si>
  <si>
    <t xml:space="preserve">      BÁO CÁO THỰC HIỆN THU NGÂN SÁCH ĐỊA PHƯƠNG 6 THÁNG ĐẦU NĂM 2023</t>
  </si>
  <si>
    <t>Đvt: triệu đồng</t>
  </si>
  <si>
    <t>Biểu số: 03</t>
  </si>
  <si>
    <t>BÁO CÁO CÁC NGUỒN KINH PHÍ ỨNG TRƯỚC, TẠM ỨNG ỨNG NGÂN SÁCH</t>
  </si>
  <si>
    <t>(Kèm theo Báo cáo số         /BC-UBND ngày    tháng     năm 2023 của UBND huyện Tu Mơ Rông)</t>
  </si>
  <si>
    <t>Đơn vị</t>
  </si>
  <si>
    <t>Kinh phí</t>
  </si>
  <si>
    <t>Nội dung kinh phí</t>
  </si>
  <si>
    <t>Ghi chú</t>
  </si>
  <si>
    <t>Tổng cộng</t>
  </si>
  <si>
    <t>Ứng trước chi thường xuyên bằng lệnh chi tiền</t>
  </si>
  <si>
    <t>CHƯA THU HỒI</t>
  </si>
  <si>
    <t>Phòng LĐ-TB và XH huyện</t>
  </si>
  <si>
    <t>Kinh phí chi trả chế độ cho hộ chính sách năm  2013,2014</t>
  </si>
  <si>
    <t>Chờ kết luận của cơ quan điều tra để xác định cá nhân sai phạm nộp lại ngân sách</t>
  </si>
  <si>
    <t>Đã bố trí</t>
  </si>
  <si>
    <t>Dự kiến bố trí</t>
  </si>
  <si>
    <t xml:space="preserve">Dự toán chưa có nguồn </t>
  </si>
  <si>
    <t>*</t>
  </si>
  <si>
    <t>Bao gồm</t>
  </si>
  <si>
    <t>Nhiệm vụ chi năm 2023</t>
  </si>
  <si>
    <t>Chi đầu tư từ các nguồn vốn thuộc ngân sách NSĐP</t>
  </si>
  <si>
    <t>Chi đầu tư từ các nguồn vốn thuộc ngân sách Trung ương</t>
  </si>
  <si>
    <t>Nguồn cân đối từ các nguồn vốn thuộc NSĐP</t>
  </si>
  <si>
    <t>Chi đầu tư từ các nguồn thu để lại</t>
  </si>
  <si>
    <t>Chuyển nguồn năm 2022 sang năm 2023</t>
  </si>
  <si>
    <t xml:space="preserve">Nguồn vốn thuộc ngân sách Trung ương </t>
  </si>
  <si>
    <t>Tỉnh giao giao đầu năm</t>
  </si>
  <si>
    <t>Tỉnh giao đầu năm</t>
  </si>
  <si>
    <t>HĐND huyện giao đầu năm</t>
  </si>
  <si>
    <t>Bổ sung có mục tiêu NS tỉnh</t>
  </si>
  <si>
    <t>12=7/6</t>
  </si>
  <si>
    <t>11=7/2</t>
  </si>
  <si>
    <t>10=7/1</t>
  </si>
  <si>
    <t>6=2+3+4+5</t>
  </si>
  <si>
    <t xml:space="preserve">               BÁO CÁO THỰC HIỆN CHI NGÂN SÁCH ĐỊA PHƯƠNG 6 THÁNG ĐẦU NĂM 2023 </t>
  </si>
  <si>
    <t>(Kết sổ ngày 30/6/2023)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</si>
</sst>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.000_);_(* \(#,##0.000\);_(* &quot;-&quot;???_);_(@_)"/>
    <numFmt numFmtId="165" formatCode="_(* #,##0.0_);_(* \(#,##0.0\);_(* &quot;-&quot;?_);_(@_)"/>
    <numFmt numFmtId="166" formatCode="_(* #,##0.000_);_(* \(#,##0.000\);_(* &quot;-&quot;?_);_(@_)"/>
    <numFmt numFmtId="167" formatCode="_(* #,##0_);_(* \(#,##0\);_(* &quot;-&quot;?_);_(@_)"/>
    <numFmt numFmtId="168" formatCode="00"/>
    <numFmt numFmtId="169" formatCode="_(* #,##0_);_(* \(#,##0\);_(* &quot;-&quot;??_);_(@_)"/>
    <numFmt numFmtId="170" formatCode="_(* #,##0.00_);_(* \(#,##0.00\);_(* &quot;-&quot;?_);_(@_)"/>
    <numFmt numFmtId="171" formatCode="#,##0.000"/>
    <numFmt numFmtId="172" formatCode="_(* #,##0.000_);_(* \(#,##0.000\);_(* &quot;-&quot;??_);_(@_)"/>
    <numFmt numFmtId="173" formatCode="_(* #,##0.0000_);_(* \(#,##0.0000\);_(* &quot;-&quot;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.VnTime"/>
      <family val="2"/>
    </font>
    <font>
      <sz val="8"/>
      <color theme="1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2" applyFont="1"/>
    <xf numFmtId="0" fontId="4" fillId="0" borderId="0" xfId="2" applyFont="1" applyAlignment="1">
      <alignment horizontal="right"/>
    </xf>
    <xf numFmtId="0" fontId="2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6" fontId="4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2" applyFont="1"/>
    <xf numFmtId="0" fontId="4" fillId="0" borderId="2" xfId="0" applyFont="1" applyBorder="1" applyAlignment="1">
      <alignment horizontal="center" vertical="center" wrapText="1"/>
    </xf>
    <xf numFmtId="16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7" fontId="2" fillId="0" borderId="2" xfId="0" applyNumberFormat="1" applyFont="1" applyBorder="1" applyAlignment="1">
      <alignment vertical="center" wrapText="1"/>
    </xf>
    <xf numFmtId="167" fontId="2" fillId="0" borderId="2" xfId="1" applyNumberFormat="1" applyFont="1" applyBorder="1" applyAlignment="1">
      <alignment horizontal="center" vertical="center" wrapText="1"/>
    </xf>
    <xf numFmtId="0" fontId="2" fillId="0" borderId="0" xfId="2" applyFont="1"/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7" fontId="4" fillId="0" borderId="2" xfId="1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167" fontId="5" fillId="0" borderId="2" xfId="1" applyNumberFormat="1" applyFont="1" applyBorder="1" applyAlignment="1">
      <alignment vertical="center" wrapText="1"/>
    </xf>
    <xf numFmtId="0" fontId="5" fillId="0" borderId="0" xfId="2" applyFont="1"/>
    <xf numFmtId="167" fontId="2" fillId="0" borderId="2" xfId="1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8" fontId="4" fillId="0" borderId="2" xfId="3" applyNumberFormat="1" applyFont="1" applyBorder="1" applyAlignment="1">
      <alignment horizontal="left"/>
    </xf>
    <xf numFmtId="0" fontId="6" fillId="0" borderId="2" xfId="0" applyFont="1" applyBorder="1" applyAlignment="1">
      <alignment vertical="center" wrapText="1"/>
    </xf>
    <xf numFmtId="167" fontId="6" fillId="0" borderId="2" xfId="1" applyNumberFormat="1" applyFont="1" applyBorder="1" applyAlignment="1">
      <alignment vertical="center" wrapText="1"/>
    </xf>
    <xf numFmtId="0" fontId="4" fillId="0" borderId="0" xfId="0" applyFont="1"/>
    <xf numFmtId="169" fontId="4" fillId="0" borderId="0" xfId="0" applyNumberFormat="1" applyFont="1"/>
    <xf numFmtId="43" fontId="4" fillId="0" borderId="0" xfId="0" applyNumberFormat="1" applyFont="1"/>
    <xf numFmtId="0" fontId="6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0" fontId="4" fillId="0" borderId="2" xfId="1" applyNumberFormat="1" applyFont="1" applyBorder="1" applyAlignment="1">
      <alignment horizontal="center" vertical="center" wrapText="1"/>
    </xf>
    <xf numFmtId="170" fontId="2" fillId="0" borderId="2" xfId="1" applyNumberFormat="1" applyFont="1" applyBorder="1" applyAlignment="1">
      <alignment horizontal="center" vertical="center" wrapText="1"/>
    </xf>
    <xf numFmtId="170" fontId="2" fillId="0" borderId="2" xfId="0" applyNumberFormat="1" applyFont="1" applyBorder="1" applyAlignment="1">
      <alignment horizontal="center" vertical="center" wrapText="1"/>
    </xf>
    <xf numFmtId="170" fontId="2" fillId="0" borderId="2" xfId="0" applyNumberFormat="1" applyFont="1" applyBorder="1" applyAlignment="1">
      <alignment vertical="center" wrapText="1"/>
    </xf>
    <xf numFmtId="170" fontId="2" fillId="0" borderId="2" xfId="1" applyNumberFormat="1" applyFont="1" applyBorder="1" applyAlignment="1">
      <alignment vertical="center" wrapText="1"/>
    </xf>
    <xf numFmtId="170" fontId="4" fillId="0" borderId="2" xfId="0" applyNumberFormat="1" applyFont="1" applyBorder="1" applyAlignment="1">
      <alignment horizontal="center" vertical="center" wrapText="1"/>
    </xf>
    <xf numFmtId="170" fontId="4" fillId="0" borderId="2" xfId="1" applyNumberFormat="1" applyFont="1" applyBorder="1"/>
    <xf numFmtId="170" fontId="5" fillId="0" borderId="2" xfId="1" applyNumberFormat="1" applyFont="1" applyBorder="1" applyAlignment="1">
      <alignment horizontal="center" vertical="center" wrapText="1"/>
    </xf>
    <xf numFmtId="170" fontId="5" fillId="0" borderId="2" xfId="0" applyNumberFormat="1" applyFont="1" applyBorder="1" applyAlignment="1">
      <alignment horizontal="center" vertical="center" wrapText="1"/>
    </xf>
    <xf numFmtId="170" fontId="8" fillId="3" borderId="4" xfId="0" applyNumberFormat="1" applyFont="1" applyFill="1" applyBorder="1" applyAlignment="1">
      <alignment horizontal="right" vertical="center" wrapText="1"/>
    </xf>
    <xf numFmtId="170" fontId="6" fillId="0" borderId="2" xfId="1" applyNumberFormat="1" applyFont="1" applyBorder="1" applyAlignment="1">
      <alignment vertical="center" wrapText="1"/>
    </xf>
    <xf numFmtId="170" fontId="2" fillId="0" borderId="2" xfId="1" applyNumberFormat="1" applyFont="1" applyFill="1" applyBorder="1" applyAlignment="1">
      <alignment horizontal="center" vertical="center" wrapText="1"/>
    </xf>
    <xf numFmtId="170" fontId="5" fillId="0" borderId="2" xfId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169" fontId="10" fillId="0" borderId="0" xfId="4" applyNumberFormat="1" applyFont="1" applyAlignment="1">
      <alignment horizontal="center" vertical="center" wrapText="1"/>
    </xf>
    <xf numFmtId="169" fontId="12" fillId="0" borderId="0" xfId="4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9" fontId="9" fillId="0" borderId="0" xfId="4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9" fontId="12" fillId="0" borderId="0" xfId="4" applyNumberFormat="1" applyFont="1" applyFill="1" applyAlignment="1">
      <alignment horizontal="center" vertical="center" wrapText="1"/>
    </xf>
    <xf numFmtId="169" fontId="10" fillId="0" borderId="0" xfId="4" applyNumberFormat="1" applyFont="1" applyFill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9" fontId="10" fillId="0" borderId="0" xfId="4" applyNumberFormat="1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171" fontId="14" fillId="0" borderId="2" xfId="0" applyNumberFormat="1" applyFont="1" applyBorder="1" applyAlignment="1">
      <alignment horizontal="center" vertical="center" wrapText="1"/>
    </xf>
    <xf numFmtId="171" fontId="14" fillId="0" borderId="2" xfId="0" applyNumberFormat="1" applyFont="1" applyFill="1" applyBorder="1" applyAlignment="1">
      <alignment horizontal="center" vertical="center" wrapText="1"/>
    </xf>
    <xf numFmtId="171" fontId="1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43" fontId="2" fillId="0" borderId="11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43" fontId="4" fillId="0" borderId="11" xfId="1" applyNumberFormat="1" applyFont="1" applyFill="1" applyBorder="1" applyAlignment="1">
      <alignment horizontal="center" vertical="center" wrapText="1"/>
    </xf>
    <xf numFmtId="172" fontId="2" fillId="0" borderId="11" xfId="1" applyNumberFormat="1" applyFont="1" applyFill="1" applyBorder="1" applyAlignment="1">
      <alignment horizontal="center" vertical="center" wrapText="1"/>
    </xf>
    <xf numFmtId="43" fontId="2" fillId="2" borderId="11" xfId="1" applyNumberFormat="1" applyFont="1" applyFill="1" applyBorder="1" applyAlignment="1">
      <alignment horizontal="center" vertical="center" wrapText="1"/>
    </xf>
    <xf numFmtId="43" fontId="2" fillId="2" borderId="11" xfId="1" applyNumberFormat="1" applyFont="1" applyFill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43" fontId="5" fillId="0" borderId="11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3" fontId="2" fillId="0" borderId="14" xfId="1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3" fontId="2" fillId="0" borderId="15" xfId="1" applyNumberFormat="1" applyFont="1" applyFill="1" applyBorder="1" applyAlignment="1">
      <alignment horizontal="center" vertical="center" wrapText="1"/>
    </xf>
    <xf numFmtId="43" fontId="4" fillId="0" borderId="15" xfId="1" applyNumberFormat="1" applyFont="1" applyFill="1" applyBorder="1" applyAlignment="1">
      <alignment horizontal="center" vertical="center" wrapText="1"/>
    </xf>
    <xf numFmtId="43" fontId="4" fillId="0" borderId="15" xfId="0" applyNumberFormat="1" applyFont="1" applyBorder="1"/>
    <xf numFmtId="43" fontId="2" fillId="2" borderId="15" xfId="1" applyNumberFormat="1" applyFont="1" applyFill="1" applyBorder="1" applyAlignment="1">
      <alignment horizontal="center" vertical="center" wrapText="1"/>
    </xf>
    <xf numFmtId="43" fontId="2" fillId="0" borderId="17" xfId="1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3" fontId="2" fillId="0" borderId="10" xfId="1" applyNumberFormat="1" applyFont="1" applyFill="1" applyBorder="1" applyAlignment="1">
      <alignment horizontal="center" vertical="center" wrapText="1"/>
    </xf>
    <xf numFmtId="43" fontId="4" fillId="0" borderId="10" xfId="1" applyNumberFormat="1" applyFont="1" applyFill="1" applyBorder="1" applyAlignment="1">
      <alignment horizontal="center" vertical="center" wrapText="1"/>
    </xf>
    <xf numFmtId="43" fontId="2" fillId="0" borderId="13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43" fontId="5" fillId="0" borderId="15" xfId="1" applyNumberFormat="1" applyFont="1" applyFill="1" applyBorder="1" applyAlignment="1">
      <alignment horizontal="center" vertical="center" wrapText="1"/>
    </xf>
    <xf numFmtId="43" fontId="5" fillId="0" borderId="10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11" xfId="0" applyFont="1" applyBorder="1" applyAlignment="1">
      <alignment horizontal="center" vertical="center" wrapText="1"/>
    </xf>
    <xf numFmtId="169" fontId="5" fillId="0" borderId="11" xfId="1" applyNumberFormat="1" applyFont="1" applyFill="1" applyBorder="1" applyAlignment="1">
      <alignment horizontal="center" vertical="center" wrapText="1"/>
    </xf>
    <xf numFmtId="173" fontId="2" fillId="0" borderId="2" xfId="1" applyNumberFormat="1" applyFont="1" applyBorder="1" applyAlignment="1">
      <alignment horizontal="center" vertical="center" wrapText="1"/>
    </xf>
    <xf numFmtId="169" fontId="2" fillId="0" borderId="0" xfId="1" applyNumberFormat="1" applyFont="1"/>
    <xf numFmtId="43" fontId="2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5">
    <cellStyle name="Comma" xfId="1" builtinId="3"/>
    <cellStyle name="Comma 10 3" xfId="4" xr:uid="{00000000-0005-0000-0000-000001000000}"/>
    <cellStyle name="Normal" xfId="0" builtinId="0"/>
    <cellStyle name="Normal 5" xfId="2" xr:uid="{00000000-0005-0000-0000-000003000000}"/>
    <cellStyle name="Normal_Bieu DT 2009 (HDND)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15240</xdr:rowOff>
    </xdr:from>
    <xdr:to>
      <xdr:col>1</xdr:col>
      <xdr:colOff>1203960</xdr:colOff>
      <xdr:row>1</xdr:row>
      <xdr:rowOff>15240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883920" y="213360"/>
          <a:ext cx="685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937260</xdr:colOff>
      <xdr:row>1</xdr:row>
      <xdr:rowOff>30480</xdr:rowOff>
    </xdr:from>
    <xdr:to>
      <xdr:col>1</xdr:col>
      <xdr:colOff>1615440</xdr:colOff>
      <xdr:row>1</xdr:row>
      <xdr:rowOff>30480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566E0E48-5345-4BE0-A559-F6456340DAE9}"/>
            </a:ext>
          </a:extLst>
        </xdr:cNvPr>
        <xdr:cNvCxnSpPr/>
      </xdr:nvCxnSpPr>
      <xdr:spPr>
        <a:xfrm>
          <a:off x="1303973" y="225743"/>
          <a:ext cx="6781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518160</xdr:colOff>
      <xdr:row>1</xdr:row>
      <xdr:rowOff>38100</xdr:rowOff>
    </xdr:from>
    <xdr:to>
      <xdr:col>1</xdr:col>
      <xdr:colOff>1196340</xdr:colOff>
      <xdr:row>1</xdr:row>
      <xdr:rowOff>38100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944880" y="266700"/>
          <a:ext cx="6781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uynh\tuynh\ng&#226;n%20s&#225;ch%20huy&#7879;n\n&#259;m%202019\Quy&#7871;t%20to&#225;n%20n&#259;m%202018\Quy&#7871;t%20to&#225;n\t&#7893;ng%20h&#7907;p%20quy&#7871;t%20to&#225;n\QUY&#7870;T%20TO&#193;N%20N&#258;M%202018\Tr&#236;nh%20H&#7897;i%20&#273;&#7891;ng%20nh&#226;n%20d&#226;n%20huy&#7879;n\k&#7871;t%20d&#432;%20n&#259;m%202018%20k&#232;m%20theo%20T&#7901;%20tr&#236;nh,%20N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ân bổ HĐND"/>
      <sheetName val="TTr-UBND"/>
      <sheetName val="KP kết dư"/>
      <sheetName val="tín"/>
    </sheetNames>
    <sheetDataSet>
      <sheetData sheetId="0" refreshError="1">
        <row r="32">
          <cell r="C32">
            <v>233597014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7"/>
  <sheetViews>
    <sheetView topLeftCell="B25" workbookViewId="0">
      <selection activeCell="G13" sqref="G13"/>
    </sheetView>
  </sheetViews>
  <sheetFormatPr defaultRowHeight="15.4"/>
  <cols>
    <col min="1" max="1" width="5.33203125" style="1" customWidth="1"/>
    <col min="2" max="2" width="33" style="1" customWidth="1"/>
    <col min="3" max="3" width="19.19921875" style="1" hidden="1" customWidth="1"/>
    <col min="4" max="6" width="12.6640625" style="1" customWidth="1"/>
    <col min="7" max="11" width="12.6640625" style="2" customWidth="1"/>
    <col min="12" max="12" width="12.6640625" style="1" customWidth="1"/>
    <col min="13" max="238" width="9.1328125" style="1"/>
    <col min="239" max="239" width="5.33203125" style="1" customWidth="1"/>
    <col min="240" max="240" width="34.19921875" style="1" customWidth="1"/>
    <col min="241" max="241" width="0" style="1" hidden="1" customWidth="1"/>
    <col min="242" max="243" width="17.46484375" style="1" customWidth="1"/>
    <col min="244" max="244" width="17.53125" style="1" customWidth="1"/>
    <col min="245" max="245" width="15.46484375" style="1" customWidth="1"/>
    <col min="246" max="246" width="16.86328125" style="1" customWidth="1"/>
    <col min="247" max="247" width="17.86328125" style="1" customWidth="1"/>
    <col min="248" max="248" width="16.1328125" style="1" customWidth="1"/>
    <col min="249" max="249" width="10.46484375" style="1" customWidth="1"/>
    <col min="250" max="250" width="10.1328125" style="1" customWidth="1"/>
    <col min="251" max="494" width="9.1328125" style="1"/>
    <col min="495" max="495" width="5.33203125" style="1" customWidth="1"/>
    <col min="496" max="496" width="34.19921875" style="1" customWidth="1"/>
    <col min="497" max="497" width="0" style="1" hidden="1" customWidth="1"/>
    <col min="498" max="499" width="17.46484375" style="1" customWidth="1"/>
    <col min="500" max="500" width="17.53125" style="1" customWidth="1"/>
    <col min="501" max="501" width="15.46484375" style="1" customWidth="1"/>
    <col min="502" max="502" width="16.86328125" style="1" customWidth="1"/>
    <col min="503" max="503" width="17.86328125" style="1" customWidth="1"/>
    <col min="504" max="504" width="16.1328125" style="1" customWidth="1"/>
    <col min="505" max="505" width="10.46484375" style="1" customWidth="1"/>
    <col min="506" max="506" width="10.1328125" style="1" customWidth="1"/>
    <col min="507" max="750" width="9.1328125" style="1"/>
    <col min="751" max="751" width="5.33203125" style="1" customWidth="1"/>
    <col min="752" max="752" width="34.19921875" style="1" customWidth="1"/>
    <col min="753" max="753" width="0" style="1" hidden="1" customWidth="1"/>
    <col min="754" max="755" width="17.46484375" style="1" customWidth="1"/>
    <col min="756" max="756" width="17.53125" style="1" customWidth="1"/>
    <col min="757" max="757" width="15.46484375" style="1" customWidth="1"/>
    <col min="758" max="758" width="16.86328125" style="1" customWidth="1"/>
    <col min="759" max="759" width="17.86328125" style="1" customWidth="1"/>
    <col min="760" max="760" width="16.1328125" style="1" customWidth="1"/>
    <col min="761" max="761" width="10.46484375" style="1" customWidth="1"/>
    <col min="762" max="762" width="10.1328125" style="1" customWidth="1"/>
    <col min="763" max="1006" width="9.1328125" style="1"/>
    <col min="1007" max="1007" width="5.33203125" style="1" customWidth="1"/>
    <col min="1008" max="1008" width="34.19921875" style="1" customWidth="1"/>
    <col min="1009" max="1009" width="0" style="1" hidden="1" customWidth="1"/>
    <col min="1010" max="1011" width="17.46484375" style="1" customWidth="1"/>
    <col min="1012" max="1012" width="17.53125" style="1" customWidth="1"/>
    <col min="1013" max="1013" width="15.46484375" style="1" customWidth="1"/>
    <col min="1014" max="1014" width="16.86328125" style="1" customWidth="1"/>
    <col min="1015" max="1015" width="17.86328125" style="1" customWidth="1"/>
    <col min="1016" max="1016" width="16.1328125" style="1" customWidth="1"/>
    <col min="1017" max="1017" width="10.46484375" style="1" customWidth="1"/>
    <col min="1018" max="1018" width="10.1328125" style="1" customWidth="1"/>
    <col min="1019" max="1262" width="9.1328125" style="1"/>
    <col min="1263" max="1263" width="5.33203125" style="1" customWidth="1"/>
    <col min="1264" max="1264" width="34.19921875" style="1" customWidth="1"/>
    <col min="1265" max="1265" width="0" style="1" hidden="1" customWidth="1"/>
    <col min="1266" max="1267" width="17.46484375" style="1" customWidth="1"/>
    <col min="1268" max="1268" width="17.53125" style="1" customWidth="1"/>
    <col min="1269" max="1269" width="15.46484375" style="1" customWidth="1"/>
    <col min="1270" max="1270" width="16.86328125" style="1" customWidth="1"/>
    <col min="1271" max="1271" width="17.86328125" style="1" customWidth="1"/>
    <col min="1272" max="1272" width="16.1328125" style="1" customWidth="1"/>
    <col min="1273" max="1273" width="10.46484375" style="1" customWidth="1"/>
    <col min="1274" max="1274" width="10.1328125" style="1" customWidth="1"/>
    <col min="1275" max="1518" width="9.1328125" style="1"/>
    <col min="1519" max="1519" width="5.33203125" style="1" customWidth="1"/>
    <col min="1520" max="1520" width="34.19921875" style="1" customWidth="1"/>
    <col min="1521" max="1521" width="0" style="1" hidden="1" customWidth="1"/>
    <col min="1522" max="1523" width="17.46484375" style="1" customWidth="1"/>
    <col min="1524" max="1524" width="17.53125" style="1" customWidth="1"/>
    <col min="1525" max="1525" width="15.46484375" style="1" customWidth="1"/>
    <col min="1526" max="1526" width="16.86328125" style="1" customWidth="1"/>
    <col min="1527" max="1527" width="17.86328125" style="1" customWidth="1"/>
    <col min="1528" max="1528" width="16.1328125" style="1" customWidth="1"/>
    <col min="1529" max="1529" width="10.46484375" style="1" customWidth="1"/>
    <col min="1530" max="1530" width="10.1328125" style="1" customWidth="1"/>
    <col min="1531" max="1774" width="9.1328125" style="1"/>
    <col min="1775" max="1775" width="5.33203125" style="1" customWidth="1"/>
    <col min="1776" max="1776" width="34.19921875" style="1" customWidth="1"/>
    <col min="1777" max="1777" width="0" style="1" hidden="1" customWidth="1"/>
    <col min="1778" max="1779" width="17.46484375" style="1" customWidth="1"/>
    <col min="1780" max="1780" width="17.53125" style="1" customWidth="1"/>
    <col min="1781" max="1781" width="15.46484375" style="1" customWidth="1"/>
    <col min="1782" max="1782" width="16.86328125" style="1" customWidth="1"/>
    <col min="1783" max="1783" width="17.86328125" style="1" customWidth="1"/>
    <col min="1784" max="1784" width="16.1328125" style="1" customWidth="1"/>
    <col min="1785" max="1785" width="10.46484375" style="1" customWidth="1"/>
    <col min="1786" max="1786" width="10.1328125" style="1" customWidth="1"/>
    <col min="1787" max="2030" width="9.1328125" style="1"/>
    <col min="2031" max="2031" width="5.33203125" style="1" customWidth="1"/>
    <col min="2032" max="2032" width="34.19921875" style="1" customWidth="1"/>
    <col min="2033" max="2033" width="0" style="1" hidden="1" customWidth="1"/>
    <col min="2034" max="2035" width="17.46484375" style="1" customWidth="1"/>
    <col min="2036" max="2036" width="17.53125" style="1" customWidth="1"/>
    <col min="2037" max="2037" width="15.46484375" style="1" customWidth="1"/>
    <col min="2038" max="2038" width="16.86328125" style="1" customWidth="1"/>
    <col min="2039" max="2039" width="17.86328125" style="1" customWidth="1"/>
    <col min="2040" max="2040" width="16.1328125" style="1" customWidth="1"/>
    <col min="2041" max="2041" width="10.46484375" style="1" customWidth="1"/>
    <col min="2042" max="2042" width="10.1328125" style="1" customWidth="1"/>
    <col min="2043" max="2286" width="9.1328125" style="1"/>
    <col min="2287" max="2287" width="5.33203125" style="1" customWidth="1"/>
    <col min="2288" max="2288" width="34.19921875" style="1" customWidth="1"/>
    <col min="2289" max="2289" width="0" style="1" hidden="1" customWidth="1"/>
    <col min="2290" max="2291" width="17.46484375" style="1" customWidth="1"/>
    <col min="2292" max="2292" width="17.53125" style="1" customWidth="1"/>
    <col min="2293" max="2293" width="15.46484375" style="1" customWidth="1"/>
    <col min="2294" max="2294" width="16.86328125" style="1" customWidth="1"/>
    <col min="2295" max="2295" width="17.86328125" style="1" customWidth="1"/>
    <col min="2296" max="2296" width="16.1328125" style="1" customWidth="1"/>
    <col min="2297" max="2297" width="10.46484375" style="1" customWidth="1"/>
    <col min="2298" max="2298" width="10.1328125" style="1" customWidth="1"/>
    <col min="2299" max="2542" width="9.1328125" style="1"/>
    <col min="2543" max="2543" width="5.33203125" style="1" customWidth="1"/>
    <col min="2544" max="2544" width="34.19921875" style="1" customWidth="1"/>
    <col min="2545" max="2545" width="0" style="1" hidden="1" customWidth="1"/>
    <col min="2546" max="2547" width="17.46484375" style="1" customWidth="1"/>
    <col min="2548" max="2548" width="17.53125" style="1" customWidth="1"/>
    <col min="2549" max="2549" width="15.46484375" style="1" customWidth="1"/>
    <col min="2550" max="2550" width="16.86328125" style="1" customWidth="1"/>
    <col min="2551" max="2551" width="17.86328125" style="1" customWidth="1"/>
    <col min="2552" max="2552" width="16.1328125" style="1" customWidth="1"/>
    <col min="2553" max="2553" width="10.46484375" style="1" customWidth="1"/>
    <col min="2554" max="2554" width="10.1328125" style="1" customWidth="1"/>
    <col min="2555" max="2798" width="9.1328125" style="1"/>
    <col min="2799" max="2799" width="5.33203125" style="1" customWidth="1"/>
    <col min="2800" max="2800" width="34.19921875" style="1" customWidth="1"/>
    <col min="2801" max="2801" width="0" style="1" hidden="1" customWidth="1"/>
    <col min="2802" max="2803" width="17.46484375" style="1" customWidth="1"/>
    <col min="2804" max="2804" width="17.53125" style="1" customWidth="1"/>
    <col min="2805" max="2805" width="15.46484375" style="1" customWidth="1"/>
    <col min="2806" max="2806" width="16.86328125" style="1" customWidth="1"/>
    <col min="2807" max="2807" width="17.86328125" style="1" customWidth="1"/>
    <col min="2808" max="2808" width="16.1328125" style="1" customWidth="1"/>
    <col min="2809" max="2809" width="10.46484375" style="1" customWidth="1"/>
    <col min="2810" max="2810" width="10.1328125" style="1" customWidth="1"/>
    <col min="2811" max="3054" width="9.1328125" style="1"/>
    <col min="3055" max="3055" width="5.33203125" style="1" customWidth="1"/>
    <col min="3056" max="3056" width="34.19921875" style="1" customWidth="1"/>
    <col min="3057" max="3057" width="0" style="1" hidden="1" customWidth="1"/>
    <col min="3058" max="3059" width="17.46484375" style="1" customWidth="1"/>
    <col min="3060" max="3060" width="17.53125" style="1" customWidth="1"/>
    <col min="3061" max="3061" width="15.46484375" style="1" customWidth="1"/>
    <col min="3062" max="3062" width="16.86328125" style="1" customWidth="1"/>
    <col min="3063" max="3063" width="17.86328125" style="1" customWidth="1"/>
    <col min="3064" max="3064" width="16.1328125" style="1" customWidth="1"/>
    <col min="3065" max="3065" width="10.46484375" style="1" customWidth="1"/>
    <col min="3066" max="3066" width="10.1328125" style="1" customWidth="1"/>
    <col min="3067" max="3310" width="9.1328125" style="1"/>
    <col min="3311" max="3311" width="5.33203125" style="1" customWidth="1"/>
    <col min="3312" max="3312" width="34.19921875" style="1" customWidth="1"/>
    <col min="3313" max="3313" width="0" style="1" hidden="1" customWidth="1"/>
    <col min="3314" max="3315" width="17.46484375" style="1" customWidth="1"/>
    <col min="3316" max="3316" width="17.53125" style="1" customWidth="1"/>
    <col min="3317" max="3317" width="15.46484375" style="1" customWidth="1"/>
    <col min="3318" max="3318" width="16.86328125" style="1" customWidth="1"/>
    <col min="3319" max="3319" width="17.86328125" style="1" customWidth="1"/>
    <col min="3320" max="3320" width="16.1328125" style="1" customWidth="1"/>
    <col min="3321" max="3321" width="10.46484375" style="1" customWidth="1"/>
    <col min="3322" max="3322" width="10.1328125" style="1" customWidth="1"/>
    <col min="3323" max="3566" width="9.1328125" style="1"/>
    <col min="3567" max="3567" width="5.33203125" style="1" customWidth="1"/>
    <col min="3568" max="3568" width="34.19921875" style="1" customWidth="1"/>
    <col min="3569" max="3569" width="0" style="1" hidden="1" customWidth="1"/>
    <col min="3570" max="3571" width="17.46484375" style="1" customWidth="1"/>
    <col min="3572" max="3572" width="17.53125" style="1" customWidth="1"/>
    <col min="3573" max="3573" width="15.46484375" style="1" customWidth="1"/>
    <col min="3574" max="3574" width="16.86328125" style="1" customWidth="1"/>
    <col min="3575" max="3575" width="17.86328125" style="1" customWidth="1"/>
    <col min="3576" max="3576" width="16.1328125" style="1" customWidth="1"/>
    <col min="3577" max="3577" width="10.46484375" style="1" customWidth="1"/>
    <col min="3578" max="3578" width="10.1328125" style="1" customWidth="1"/>
    <col min="3579" max="3822" width="9.1328125" style="1"/>
    <col min="3823" max="3823" width="5.33203125" style="1" customWidth="1"/>
    <col min="3824" max="3824" width="34.19921875" style="1" customWidth="1"/>
    <col min="3825" max="3825" width="0" style="1" hidden="1" customWidth="1"/>
    <col min="3826" max="3827" width="17.46484375" style="1" customWidth="1"/>
    <col min="3828" max="3828" width="17.53125" style="1" customWidth="1"/>
    <col min="3829" max="3829" width="15.46484375" style="1" customWidth="1"/>
    <col min="3830" max="3830" width="16.86328125" style="1" customWidth="1"/>
    <col min="3831" max="3831" width="17.86328125" style="1" customWidth="1"/>
    <col min="3832" max="3832" width="16.1328125" style="1" customWidth="1"/>
    <col min="3833" max="3833" width="10.46484375" style="1" customWidth="1"/>
    <col min="3834" max="3834" width="10.1328125" style="1" customWidth="1"/>
    <col min="3835" max="4078" width="9.1328125" style="1"/>
    <col min="4079" max="4079" width="5.33203125" style="1" customWidth="1"/>
    <col min="4080" max="4080" width="34.19921875" style="1" customWidth="1"/>
    <col min="4081" max="4081" width="0" style="1" hidden="1" customWidth="1"/>
    <col min="4082" max="4083" width="17.46484375" style="1" customWidth="1"/>
    <col min="4084" max="4084" width="17.53125" style="1" customWidth="1"/>
    <col min="4085" max="4085" width="15.46484375" style="1" customWidth="1"/>
    <col min="4086" max="4086" width="16.86328125" style="1" customWidth="1"/>
    <col min="4087" max="4087" width="17.86328125" style="1" customWidth="1"/>
    <col min="4088" max="4088" width="16.1328125" style="1" customWidth="1"/>
    <col min="4089" max="4089" width="10.46484375" style="1" customWidth="1"/>
    <col min="4090" max="4090" width="10.1328125" style="1" customWidth="1"/>
    <col min="4091" max="4334" width="9.1328125" style="1"/>
    <col min="4335" max="4335" width="5.33203125" style="1" customWidth="1"/>
    <col min="4336" max="4336" width="34.19921875" style="1" customWidth="1"/>
    <col min="4337" max="4337" width="0" style="1" hidden="1" customWidth="1"/>
    <col min="4338" max="4339" width="17.46484375" style="1" customWidth="1"/>
    <col min="4340" max="4340" width="17.53125" style="1" customWidth="1"/>
    <col min="4341" max="4341" width="15.46484375" style="1" customWidth="1"/>
    <col min="4342" max="4342" width="16.86328125" style="1" customWidth="1"/>
    <col min="4343" max="4343" width="17.86328125" style="1" customWidth="1"/>
    <col min="4344" max="4344" width="16.1328125" style="1" customWidth="1"/>
    <col min="4345" max="4345" width="10.46484375" style="1" customWidth="1"/>
    <col min="4346" max="4346" width="10.1328125" style="1" customWidth="1"/>
    <col min="4347" max="4590" width="9.1328125" style="1"/>
    <col min="4591" max="4591" width="5.33203125" style="1" customWidth="1"/>
    <col min="4592" max="4592" width="34.19921875" style="1" customWidth="1"/>
    <col min="4593" max="4593" width="0" style="1" hidden="1" customWidth="1"/>
    <col min="4594" max="4595" width="17.46484375" style="1" customWidth="1"/>
    <col min="4596" max="4596" width="17.53125" style="1" customWidth="1"/>
    <col min="4597" max="4597" width="15.46484375" style="1" customWidth="1"/>
    <col min="4598" max="4598" width="16.86328125" style="1" customWidth="1"/>
    <col min="4599" max="4599" width="17.86328125" style="1" customWidth="1"/>
    <col min="4600" max="4600" width="16.1328125" style="1" customWidth="1"/>
    <col min="4601" max="4601" width="10.46484375" style="1" customWidth="1"/>
    <col min="4602" max="4602" width="10.1328125" style="1" customWidth="1"/>
    <col min="4603" max="4846" width="9.1328125" style="1"/>
    <col min="4847" max="4847" width="5.33203125" style="1" customWidth="1"/>
    <col min="4848" max="4848" width="34.19921875" style="1" customWidth="1"/>
    <col min="4849" max="4849" width="0" style="1" hidden="1" customWidth="1"/>
    <col min="4850" max="4851" width="17.46484375" style="1" customWidth="1"/>
    <col min="4852" max="4852" width="17.53125" style="1" customWidth="1"/>
    <col min="4853" max="4853" width="15.46484375" style="1" customWidth="1"/>
    <col min="4854" max="4854" width="16.86328125" style="1" customWidth="1"/>
    <col min="4855" max="4855" width="17.86328125" style="1" customWidth="1"/>
    <col min="4856" max="4856" width="16.1328125" style="1" customWidth="1"/>
    <col min="4857" max="4857" width="10.46484375" style="1" customWidth="1"/>
    <col min="4858" max="4858" width="10.1328125" style="1" customWidth="1"/>
    <col min="4859" max="5102" width="9.1328125" style="1"/>
    <col min="5103" max="5103" width="5.33203125" style="1" customWidth="1"/>
    <col min="5104" max="5104" width="34.19921875" style="1" customWidth="1"/>
    <col min="5105" max="5105" width="0" style="1" hidden="1" customWidth="1"/>
    <col min="5106" max="5107" width="17.46484375" style="1" customWidth="1"/>
    <col min="5108" max="5108" width="17.53125" style="1" customWidth="1"/>
    <col min="5109" max="5109" width="15.46484375" style="1" customWidth="1"/>
    <col min="5110" max="5110" width="16.86328125" style="1" customWidth="1"/>
    <col min="5111" max="5111" width="17.86328125" style="1" customWidth="1"/>
    <col min="5112" max="5112" width="16.1328125" style="1" customWidth="1"/>
    <col min="5113" max="5113" width="10.46484375" style="1" customWidth="1"/>
    <col min="5114" max="5114" width="10.1328125" style="1" customWidth="1"/>
    <col min="5115" max="5358" width="9.1328125" style="1"/>
    <col min="5359" max="5359" width="5.33203125" style="1" customWidth="1"/>
    <col min="5360" max="5360" width="34.19921875" style="1" customWidth="1"/>
    <col min="5361" max="5361" width="0" style="1" hidden="1" customWidth="1"/>
    <col min="5362" max="5363" width="17.46484375" style="1" customWidth="1"/>
    <col min="5364" max="5364" width="17.53125" style="1" customWidth="1"/>
    <col min="5365" max="5365" width="15.46484375" style="1" customWidth="1"/>
    <col min="5366" max="5366" width="16.86328125" style="1" customWidth="1"/>
    <col min="5367" max="5367" width="17.86328125" style="1" customWidth="1"/>
    <col min="5368" max="5368" width="16.1328125" style="1" customWidth="1"/>
    <col min="5369" max="5369" width="10.46484375" style="1" customWidth="1"/>
    <col min="5370" max="5370" width="10.1328125" style="1" customWidth="1"/>
    <col min="5371" max="5614" width="9.1328125" style="1"/>
    <col min="5615" max="5615" width="5.33203125" style="1" customWidth="1"/>
    <col min="5616" max="5616" width="34.19921875" style="1" customWidth="1"/>
    <col min="5617" max="5617" width="0" style="1" hidden="1" customWidth="1"/>
    <col min="5618" max="5619" width="17.46484375" style="1" customWidth="1"/>
    <col min="5620" max="5620" width="17.53125" style="1" customWidth="1"/>
    <col min="5621" max="5621" width="15.46484375" style="1" customWidth="1"/>
    <col min="5622" max="5622" width="16.86328125" style="1" customWidth="1"/>
    <col min="5623" max="5623" width="17.86328125" style="1" customWidth="1"/>
    <col min="5624" max="5624" width="16.1328125" style="1" customWidth="1"/>
    <col min="5625" max="5625" width="10.46484375" style="1" customWidth="1"/>
    <col min="5626" max="5626" width="10.1328125" style="1" customWidth="1"/>
    <col min="5627" max="5870" width="9.1328125" style="1"/>
    <col min="5871" max="5871" width="5.33203125" style="1" customWidth="1"/>
    <col min="5872" max="5872" width="34.19921875" style="1" customWidth="1"/>
    <col min="5873" max="5873" width="0" style="1" hidden="1" customWidth="1"/>
    <col min="5874" max="5875" width="17.46484375" style="1" customWidth="1"/>
    <col min="5876" max="5876" width="17.53125" style="1" customWidth="1"/>
    <col min="5877" max="5877" width="15.46484375" style="1" customWidth="1"/>
    <col min="5878" max="5878" width="16.86328125" style="1" customWidth="1"/>
    <col min="5879" max="5879" width="17.86328125" style="1" customWidth="1"/>
    <col min="5880" max="5880" width="16.1328125" style="1" customWidth="1"/>
    <col min="5881" max="5881" width="10.46484375" style="1" customWidth="1"/>
    <col min="5882" max="5882" width="10.1328125" style="1" customWidth="1"/>
    <col min="5883" max="6126" width="9.1328125" style="1"/>
    <col min="6127" max="6127" width="5.33203125" style="1" customWidth="1"/>
    <col min="6128" max="6128" width="34.19921875" style="1" customWidth="1"/>
    <col min="6129" max="6129" width="0" style="1" hidden="1" customWidth="1"/>
    <col min="6130" max="6131" width="17.46484375" style="1" customWidth="1"/>
    <col min="6132" max="6132" width="17.53125" style="1" customWidth="1"/>
    <col min="6133" max="6133" width="15.46484375" style="1" customWidth="1"/>
    <col min="6134" max="6134" width="16.86328125" style="1" customWidth="1"/>
    <col min="6135" max="6135" width="17.86328125" style="1" customWidth="1"/>
    <col min="6136" max="6136" width="16.1328125" style="1" customWidth="1"/>
    <col min="6137" max="6137" width="10.46484375" style="1" customWidth="1"/>
    <col min="6138" max="6138" width="10.1328125" style="1" customWidth="1"/>
    <col min="6139" max="6382" width="9.1328125" style="1"/>
    <col min="6383" max="6383" width="5.33203125" style="1" customWidth="1"/>
    <col min="6384" max="6384" width="34.19921875" style="1" customWidth="1"/>
    <col min="6385" max="6385" width="0" style="1" hidden="1" customWidth="1"/>
    <col min="6386" max="6387" width="17.46484375" style="1" customWidth="1"/>
    <col min="6388" max="6388" width="17.53125" style="1" customWidth="1"/>
    <col min="6389" max="6389" width="15.46484375" style="1" customWidth="1"/>
    <col min="6390" max="6390" width="16.86328125" style="1" customWidth="1"/>
    <col min="6391" max="6391" width="17.86328125" style="1" customWidth="1"/>
    <col min="6392" max="6392" width="16.1328125" style="1" customWidth="1"/>
    <col min="6393" max="6393" width="10.46484375" style="1" customWidth="1"/>
    <col min="6394" max="6394" width="10.1328125" style="1" customWidth="1"/>
    <col min="6395" max="6638" width="9.1328125" style="1"/>
    <col min="6639" max="6639" width="5.33203125" style="1" customWidth="1"/>
    <col min="6640" max="6640" width="34.19921875" style="1" customWidth="1"/>
    <col min="6641" max="6641" width="0" style="1" hidden="1" customWidth="1"/>
    <col min="6642" max="6643" width="17.46484375" style="1" customWidth="1"/>
    <col min="6644" max="6644" width="17.53125" style="1" customWidth="1"/>
    <col min="6645" max="6645" width="15.46484375" style="1" customWidth="1"/>
    <col min="6646" max="6646" width="16.86328125" style="1" customWidth="1"/>
    <col min="6647" max="6647" width="17.86328125" style="1" customWidth="1"/>
    <col min="6648" max="6648" width="16.1328125" style="1" customWidth="1"/>
    <col min="6649" max="6649" width="10.46484375" style="1" customWidth="1"/>
    <col min="6650" max="6650" width="10.1328125" style="1" customWidth="1"/>
    <col min="6651" max="6894" width="9.1328125" style="1"/>
    <col min="6895" max="6895" width="5.33203125" style="1" customWidth="1"/>
    <col min="6896" max="6896" width="34.19921875" style="1" customWidth="1"/>
    <col min="6897" max="6897" width="0" style="1" hidden="1" customWidth="1"/>
    <col min="6898" max="6899" width="17.46484375" style="1" customWidth="1"/>
    <col min="6900" max="6900" width="17.53125" style="1" customWidth="1"/>
    <col min="6901" max="6901" width="15.46484375" style="1" customWidth="1"/>
    <col min="6902" max="6902" width="16.86328125" style="1" customWidth="1"/>
    <col min="6903" max="6903" width="17.86328125" style="1" customWidth="1"/>
    <col min="6904" max="6904" width="16.1328125" style="1" customWidth="1"/>
    <col min="6905" max="6905" width="10.46484375" style="1" customWidth="1"/>
    <col min="6906" max="6906" width="10.1328125" style="1" customWidth="1"/>
    <col min="6907" max="7150" width="9.1328125" style="1"/>
    <col min="7151" max="7151" width="5.33203125" style="1" customWidth="1"/>
    <col min="7152" max="7152" width="34.19921875" style="1" customWidth="1"/>
    <col min="7153" max="7153" width="0" style="1" hidden="1" customWidth="1"/>
    <col min="7154" max="7155" width="17.46484375" style="1" customWidth="1"/>
    <col min="7156" max="7156" width="17.53125" style="1" customWidth="1"/>
    <col min="7157" max="7157" width="15.46484375" style="1" customWidth="1"/>
    <col min="7158" max="7158" width="16.86328125" style="1" customWidth="1"/>
    <col min="7159" max="7159" width="17.86328125" style="1" customWidth="1"/>
    <col min="7160" max="7160" width="16.1328125" style="1" customWidth="1"/>
    <col min="7161" max="7161" width="10.46484375" style="1" customWidth="1"/>
    <col min="7162" max="7162" width="10.1328125" style="1" customWidth="1"/>
    <col min="7163" max="7406" width="9.1328125" style="1"/>
    <col min="7407" max="7407" width="5.33203125" style="1" customWidth="1"/>
    <col min="7408" max="7408" width="34.19921875" style="1" customWidth="1"/>
    <col min="7409" max="7409" width="0" style="1" hidden="1" customWidth="1"/>
    <col min="7410" max="7411" width="17.46484375" style="1" customWidth="1"/>
    <col min="7412" max="7412" width="17.53125" style="1" customWidth="1"/>
    <col min="7413" max="7413" width="15.46484375" style="1" customWidth="1"/>
    <col min="7414" max="7414" width="16.86328125" style="1" customWidth="1"/>
    <col min="7415" max="7415" width="17.86328125" style="1" customWidth="1"/>
    <col min="7416" max="7416" width="16.1328125" style="1" customWidth="1"/>
    <col min="7417" max="7417" width="10.46484375" style="1" customWidth="1"/>
    <col min="7418" max="7418" width="10.1328125" style="1" customWidth="1"/>
    <col min="7419" max="7662" width="9.1328125" style="1"/>
    <col min="7663" max="7663" width="5.33203125" style="1" customWidth="1"/>
    <col min="7664" max="7664" width="34.19921875" style="1" customWidth="1"/>
    <col min="7665" max="7665" width="0" style="1" hidden="1" customWidth="1"/>
    <col min="7666" max="7667" width="17.46484375" style="1" customWidth="1"/>
    <col min="7668" max="7668" width="17.53125" style="1" customWidth="1"/>
    <col min="7669" max="7669" width="15.46484375" style="1" customWidth="1"/>
    <col min="7670" max="7670" width="16.86328125" style="1" customWidth="1"/>
    <col min="7671" max="7671" width="17.86328125" style="1" customWidth="1"/>
    <col min="7672" max="7672" width="16.1328125" style="1" customWidth="1"/>
    <col min="7673" max="7673" width="10.46484375" style="1" customWidth="1"/>
    <col min="7674" max="7674" width="10.1328125" style="1" customWidth="1"/>
    <col min="7675" max="7918" width="9.1328125" style="1"/>
    <col min="7919" max="7919" width="5.33203125" style="1" customWidth="1"/>
    <col min="7920" max="7920" width="34.19921875" style="1" customWidth="1"/>
    <col min="7921" max="7921" width="0" style="1" hidden="1" customWidth="1"/>
    <col min="7922" max="7923" width="17.46484375" style="1" customWidth="1"/>
    <col min="7924" max="7924" width="17.53125" style="1" customWidth="1"/>
    <col min="7925" max="7925" width="15.46484375" style="1" customWidth="1"/>
    <col min="7926" max="7926" width="16.86328125" style="1" customWidth="1"/>
    <col min="7927" max="7927" width="17.86328125" style="1" customWidth="1"/>
    <col min="7928" max="7928" width="16.1328125" style="1" customWidth="1"/>
    <col min="7929" max="7929" width="10.46484375" style="1" customWidth="1"/>
    <col min="7930" max="7930" width="10.1328125" style="1" customWidth="1"/>
    <col min="7931" max="8174" width="9.1328125" style="1"/>
    <col min="8175" max="8175" width="5.33203125" style="1" customWidth="1"/>
    <col min="8176" max="8176" width="34.19921875" style="1" customWidth="1"/>
    <col min="8177" max="8177" width="0" style="1" hidden="1" customWidth="1"/>
    <col min="8178" max="8179" width="17.46484375" style="1" customWidth="1"/>
    <col min="8180" max="8180" width="17.53125" style="1" customWidth="1"/>
    <col min="8181" max="8181" width="15.46484375" style="1" customWidth="1"/>
    <col min="8182" max="8182" width="16.86328125" style="1" customWidth="1"/>
    <col min="8183" max="8183" width="17.86328125" style="1" customWidth="1"/>
    <col min="8184" max="8184" width="16.1328125" style="1" customWidth="1"/>
    <col min="8185" max="8185" width="10.46484375" style="1" customWidth="1"/>
    <col min="8186" max="8186" width="10.1328125" style="1" customWidth="1"/>
    <col min="8187" max="8430" width="9.1328125" style="1"/>
    <col min="8431" max="8431" width="5.33203125" style="1" customWidth="1"/>
    <col min="8432" max="8432" width="34.19921875" style="1" customWidth="1"/>
    <col min="8433" max="8433" width="0" style="1" hidden="1" customWidth="1"/>
    <col min="8434" max="8435" width="17.46484375" style="1" customWidth="1"/>
    <col min="8436" max="8436" width="17.53125" style="1" customWidth="1"/>
    <col min="8437" max="8437" width="15.46484375" style="1" customWidth="1"/>
    <col min="8438" max="8438" width="16.86328125" style="1" customWidth="1"/>
    <col min="8439" max="8439" width="17.86328125" style="1" customWidth="1"/>
    <col min="8440" max="8440" width="16.1328125" style="1" customWidth="1"/>
    <col min="8441" max="8441" width="10.46484375" style="1" customWidth="1"/>
    <col min="8442" max="8442" width="10.1328125" style="1" customWidth="1"/>
    <col min="8443" max="8686" width="9.1328125" style="1"/>
    <col min="8687" max="8687" width="5.33203125" style="1" customWidth="1"/>
    <col min="8688" max="8688" width="34.19921875" style="1" customWidth="1"/>
    <col min="8689" max="8689" width="0" style="1" hidden="1" customWidth="1"/>
    <col min="8690" max="8691" width="17.46484375" style="1" customWidth="1"/>
    <col min="8692" max="8692" width="17.53125" style="1" customWidth="1"/>
    <col min="8693" max="8693" width="15.46484375" style="1" customWidth="1"/>
    <col min="8694" max="8694" width="16.86328125" style="1" customWidth="1"/>
    <col min="8695" max="8695" width="17.86328125" style="1" customWidth="1"/>
    <col min="8696" max="8696" width="16.1328125" style="1" customWidth="1"/>
    <col min="8697" max="8697" width="10.46484375" style="1" customWidth="1"/>
    <col min="8698" max="8698" width="10.1328125" style="1" customWidth="1"/>
    <col min="8699" max="8942" width="9.1328125" style="1"/>
    <col min="8943" max="8943" width="5.33203125" style="1" customWidth="1"/>
    <col min="8944" max="8944" width="34.19921875" style="1" customWidth="1"/>
    <col min="8945" max="8945" width="0" style="1" hidden="1" customWidth="1"/>
    <col min="8946" max="8947" width="17.46484375" style="1" customWidth="1"/>
    <col min="8948" max="8948" width="17.53125" style="1" customWidth="1"/>
    <col min="8949" max="8949" width="15.46484375" style="1" customWidth="1"/>
    <col min="8950" max="8950" width="16.86328125" style="1" customWidth="1"/>
    <col min="8951" max="8951" width="17.86328125" style="1" customWidth="1"/>
    <col min="8952" max="8952" width="16.1328125" style="1" customWidth="1"/>
    <col min="8953" max="8953" width="10.46484375" style="1" customWidth="1"/>
    <col min="8954" max="8954" width="10.1328125" style="1" customWidth="1"/>
    <col min="8955" max="9198" width="9.1328125" style="1"/>
    <col min="9199" max="9199" width="5.33203125" style="1" customWidth="1"/>
    <col min="9200" max="9200" width="34.19921875" style="1" customWidth="1"/>
    <col min="9201" max="9201" width="0" style="1" hidden="1" customWidth="1"/>
    <col min="9202" max="9203" width="17.46484375" style="1" customWidth="1"/>
    <col min="9204" max="9204" width="17.53125" style="1" customWidth="1"/>
    <col min="9205" max="9205" width="15.46484375" style="1" customWidth="1"/>
    <col min="9206" max="9206" width="16.86328125" style="1" customWidth="1"/>
    <col min="9207" max="9207" width="17.86328125" style="1" customWidth="1"/>
    <col min="9208" max="9208" width="16.1328125" style="1" customWidth="1"/>
    <col min="9209" max="9209" width="10.46484375" style="1" customWidth="1"/>
    <col min="9210" max="9210" width="10.1328125" style="1" customWidth="1"/>
    <col min="9211" max="9454" width="9.1328125" style="1"/>
    <col min="9455" max="9455" width="5.33203125" style="1" customWidth="1"/>
    <col min="9456" max="9456" width="34.19921875" style="1" customWidth="1"/>
    <col min="9457" max="9457" width="0" style="1" hidden="1" customWidth="1"/>
    <col min="9458" max="9459" width="17.46484375" style="1" customWidth="1"/>
    <col min="9460" max="9460" width="17.53125" style="1" customWidth="1"/>
    <col min="9461" max="9461" width="15.46484375" style="1" customWidth="1"/>
    <col min="9462" max="9462" width="16.86328125" style="1" customWidth="1"/>
    <col min="9463" max="9463" width="17.86328125" style="1" customWidth="1"/>
    <col min="9464" max="9464" width="16.1328125" style="1" customWidth="1"/>
    <col min="9465" max="9465" width="10.46484375" style="1" customWidth="1"/>
    <col min="9466" max="9466" width="10.1328125" style="1" customWidth="1"/>
    <col min="9467" max="9710" width="9.1328125" style="1"/>
    <col min="9711" max="9711" width="5.33203125" style="1" customWidth="1"/>
    <col min="9712" max="9712" width="34.19921875" style="1" customWidth="1"/>
    <col min="9713" max="9713" width="0" style="1" hidden="1" customWidth="1"/>
    <col min="9714" max="9715" width="17.46484375" style="1" customWidth="1"/>
    <col min="9716" max="9716" width="17.53125" style="1" customWidth="1"/>
    <col min="9717" max="9717" width="15.46484375" style="1" customWidth="1"/>
    <col min="9718" max="9718" width="16.86328125" style="1" customWidth="1"/>
    <col min="9719" max="9719" width="17.86328125" style="1" customWidth="1"/>
    <col min="9720" max="9720" width="16.1328125" style="1" customWidth="1"/>
    <col min="9721" max="9721" width="10.46484375" style="1" customWidth="1"/>
    <col min="9722" max="9722" width="10.1328125" style="1" customWidth="1"/>
    <col min="9723" max="9966" width="9.1328125" style="1"/>
    <col min="9967" max="9967" width="5.33203125" style="1" customWidth="1"/>
    <col min="9968" max="9968" width="34.19921875" style="1" customWidth="1"/>
    <col min="9969" max="9969" width="0" style="1" hidden="1" customWidth="1"/>
    <col min="9970" max="9971" width="17.46484375" style="1" customWidth="1"/>
    <col min="9972" max="9972" width="17.53125" style="1" customWidth="1"/>
    <col min="9973" max="9973" width="15.46484375" style="1" customWidth="1"/>
    <col min="9974" max="9974" width="16.86328125" style="1" customWidth="1"/>
    <col min="9975" max="9975" width="17.86328125" style="1" customWidth="1"/>
    <col min="9976" max="9976" width="16.1328125" style="1" customWidth="1"/>
    <col min="9977" max="9977" width="10.46484375" style="1" customWidth="1"/>
    <col min="9978" max="9978" width="10.1328125" style="1" customWidth="1"/>
    <col min="9979" max="10222" width="9.1328125" style="1"/>
    <col min="10223" max="10223" width="5.33203125" style="1" customWidth="1"/>
    <col min="10224" max="10224" width="34.19921875" style="1" customWidth="1"/>
    <col min="10225" max="10225" width="0" style="1" hidden="1" customWidth="1"/>
    <col min="10226" max="10227" width="17.46484375" style="1" customWidth="1"/>
    <col min="10228" max="10228" width="17.53125" style="1" customWidth="1"/>
    <col min="10229" max="10229" width="15.46484375" style="1" customWidth="1"/>
    <col min="10230" max="10230" width="16.86328125" style="1" customWidth="1"/>
    <col min="10231" max="10231" width="17.86328125" style="1" customWidth="1"/>
    <col min="10232" max="10232" width="16.1328125" style="1" customWidth="1"/>
    <col min="10233" max="10233" width="10.46484375" style="1" customWidth="1"/>
    <col min="10234" max="10234" width="10.1328125" style="1" customWidth="1"/>
    <col min="10235" max="10478" width="9.1328125" style="1"/>
    <col min="10479" max="10479" width="5.33203125" style="1" customWidth="1"/>
    <col min="10480" max="10480" width="34.19921875" style="1" customWidth="1"/>
    <col min="10481" max="10481" width="0" style="1" hidden="1" customWidth="1"/>
    <col min="10482" max="10483" width="17.46484375" style="1" customWidth="1"/>
    <col min="10484" max="10484" width="17.53125" style="1" customWidth="1"/>
    <col min="10485" max="10485" width="15.46484375" style="1" customWidth="1"/>
    <col min="10486" max="10486" width="16.86328125" style="1" customWidth="1"/>
    <col min="10487" max="10487" width="17.86328125" style="1" customWidth="1"/>
    <col min="10488" max="10488" width="16.1328125" style="1" customWidth="1"/>
    <col min="10489" max="10489" width="10.46484375" style="1" customWidth="1"/>
    <col min="10490" max="10490" width="10.1328125" style="1" customWidth="1"/>
    <col min="10491" max="10734" width="9.1328125" style="1"/>
    <col min="10735" max="10735" width="5.33203125" style="1" customWidth="1"/>
    <col min="10736" max="10736" width="34.19921875" style="1" customWidth="1"/>
    <col min="10737" max="10737" width="0" style="1" hidden="1" customWidth="1"/>
    <col min="10738" max="10739" width="17.46484375" style="1" customWidth="1"/>
    <col min="10740" max="10740" width="17.53125" style="1" customWidth="1"/>
    <col min="10741" max="10741" width="15.46484375" style="1" customWidth="1"/>
    <col min="10742" max="10742" width="16.86328125" style="1" customWidth="1"/>
    <col min="10743" max="10743" width="17.86328125" style="1" customWidth="1"/>
    <col min="10744" max="10744" width="16.1328125" style="1" customWidth="1"/>
    <col min="10745" max="10745" width="10.46484375" style="1" customWidth="1"/>
    <col min="10746" max="10746" width="10.1328125" style="1" customWidth="1"/>
    <col min="10747" max="10990" width="9.1328125" style="1"/>
    <col min="10991" max="10991" width="5.33203125" style="1" customWidth="1"/>
    <col min="10992" max="10992" width="34.19921875" style="1" customWidth="1"/>
    <col min="10993" max="10993" width="0" style="1" hidden="1" customWidth="1"/>
    <col min="10994" max="10995" width="17.46484375" style="1" customWidth="1"/>
    <col min="10996" max="10996" width="17.53125" style="1" customWidth="1"/>
    <col min="10997" max="10997" width="15.46484375" style="1" customWidth="1"/>
    <col min="10998" max="10998" width="16.86328125" style="1" customWidth="1"/>
    <col min="10999" max="10999" width="17.86328125" style="1" customWidth="1"/>
    <col min="11000" max="11000" width="16.1328125" style="1" customWidth="1"/>
    <col min="11001" max="11001" width="10.46484375" style="1" customWidth="1"/>
    <col min="11002" max="11002" width="10.1328125" style="1" customWidth="1"/>
    <col min="11003" max="11246" width="9.1328125" style="1"/>
    <col min="11247" max="11247" width="5.33203125" style="1" customWidth="1"/>
    <col min="11248" max="11248" width="34.19921875" style="1" customWidth="1"/>
    <col min="11249" max="11249" width="0" style="1" hidden="1" customWidth="1"/>
    <col min="11250" max="11251" width="17.46484375" style="1" customWidth="1"/>
    <col min="11252" max="11252" width="17.53125" style="1" customWidth="1"/>
    <col min="11253" max="11253" width="15.46484375" style="1" customWidth="1"/>
    <col min="11254" max="11254" width="16.86328125" style="1" customWidth="1"/>
    <col min="11255" max="11255" width="17.86328125" style="1" customWidth="1"/>
    <col min="11256" max="11256" width="16.1328125" style="1" customWidth="1"/>
    <col min="11257" max="11257" width="10.46484375" style="1" customWidth="1"/>
    <col min="11258" max="11258" width="10.1328125" style="1" customWidth="1"/>
    <col min="11259" max="11502" width="9.1328125" style="1"/>
    <col min="11503" max="11503" width="5.33203125" style="1" customWidth="1"/>
    <col min="11504" max="11504" width="34.19921875" style="1" customWidth="1"/>
    <col min="11505" max="11505" width="0" style="1" hidden="1" customWidth="1"/>
    <col min="11506" max="11507" width="17.46484375" style="1" customWidth="1"/>
    <col min="11508" max="11508" width="17.53125" style="1" customWidth="1"/>
    <col min="11509" max="11509" width="15.46484375" style="1" customWidth="1"/>
    <col min="11510" max="11510" width="16.86328125" style="1" customWidth="1"/>
    <col min="11511" max="11511" width="17.86328125" style="1" customWidth="1"/>
    <col min="11512" max="11512" width="16.1328125" style="1" customWidth="1"/>
    <col min="11513" max="11513" width="10.46484375" style="1" customWidth="1"/>
    <col min="11514" max="11514" width="10.1328125" style="1" customWidth="1"/>
    <col min="11515" max="11758" width="9.1328125" style="1"/>
    <col min="11759" max="11759" width="5.33203125" style="1" customWidth="1"/>
    <col min="11760" max="11760" width="34.19921875" style="1" customWidth="1"/>
    <col min="11761" max="11761" width="0" style="1" hidden="1" customWidth="1"/>
    <col min="11762" max="11763" width="17.46484375" style="1" customWidth="1"/>
    <col min="11764" max="11764" width="17.53125" style="1" customWidth="1"/>
    <col min="11765" max="11765" width="15.46484375" style="1" customWidth="1"/>
    <col min="11766" max="11766" width="16.86328125" style="1" customWidth="1"/>
    <col min="11767" max="11767" width="17.86328125" style="1" customWidth="1"/>
    <col min="11768" max="11768" width="16.1328125" style="1" customWidth="1"/>
    <col min="11769" max="11769" width="10.46484375" style="1" customWidth="1"/>
    <col min="11770" max="11770" width="10.1328125" style="1" customWidth="1"/>
    <col min="11771" max="12014" width="9.1328125" style="1"/>
    <col min="12015" max="12015" width="5.33203125" style="1" customWidth="1"/>
    <col min="12016" max="12016" width="34.19921875" style="1" customWidth="1"/>
    <col min="12017" max="12017" width="0" style="1" hidden="1" customWidth="1"/>
    <col min="12018" max="12019" width="17.46484375" style="1" customWidth="1"/>
    <col min="12020" max="12020" width="17.53125" style="1" customWidth="1"/>
    <col min="12021" max="12021" width="15.46484375" style="1" customWidth="1"/>
    <col min="12022" max="12022" width="16.86328125" style="1" customWidth="1"/>
    <col min="12023" max="12023" width="17.86328125" style="1" customWidth="1"/>
    <col min="12024" max="12024" width="16.1328125" style="1" customWidth="1"/>
    <col min="12025" max="12025" width="10.46484375" style="1" customWidth="1"/>
    <col min="12026" max="12026" width="10.1328125" style="1" customWidth="1"/>
    <col min="12027" max="12270" width="9.1328125" style="1"/>
    <col min="12271" max="12271" width="5.33203125" style="1" customWidth="1"/>
    <col min="12272" max="12272" width="34.19921875" style="1" customWidth="1"/>
    <col min="12273" max="12273" width="0" style="1" hidden="1" customWidth="1"/>
    <col min="12274" max="12275" width="17.46484375" style="1" customWidth="1"/>
    <col min="12276" max="12276" width="17.53125" style="1" customWidth="1"/>
    <col min="12277" max="12277" width="15.46484375" style="1" customWidth="1"/>
    <col min="12278" max="12278" width="16.86328125" style="1" customWidth="1"/>
    <col min="12279" max="12279" width="17.86328125" style="1" customWidth="1"/>
    <col min="12280" max="12280" width="16.1328125" style="1" customWidth="1"/>
    <col min="12281" max="12281" width="10.46484375" style="1" customWidth="1"/>
    <col min="12282" max="12282" width="10.1328125" style="1" customWidth="1"/>
    <col min="12283" max="12526" width="9.1328125" style="1"/>
    <col min="12527" max="12527" width="5.33203125" style="1" customWidth="1"/>
    <col min="12528" max="12528" width="34.19921875" style="1" customWidth="1"/>
    <col min="12529" max="12529" width="0" style="1" hidden="1" customWidth="1"/>
    <col min="12530" max="12531" width="17.46484375" style="1" customWidth="1"/>
    <col min="12532" max="12532" width="17.53125" style="1" customWidth="1"/>
    <col min="12533" max="12533" width="15.46484375" style="1" customWidth="1"/>
    <col min="12534" max="12534" width="16.86328125" style="1" customWidth="1"/>
    <col min="12535" max="12535" width="17.86328125" style="1" customWidth="1"/>
    <col min="12536" max="12536" width="16.1328125" style="1" customWidth="1"/>
    <col min="12537" max="12537" width="10.46484375" style="1" customWidth="1"/>
    <col min="12538" max="12538" width="10.1328125" style="1" customWidth="1"/>
    <col min="12539" max="12782" width="9.1328125" style="1"/>
    <col min="12783" max="12783" width="5.33203125" style="1" customWidth="1"/>
    <col min="12784" max="12784" width="34.19921875" style="1" customWidth="1"/>
    <col min="12785" max="12785" width="0" style="1" hidden="1" customWidth="1"/>
    <col min="12786" max="12787" width="17.46484375" style="1" customWidth="1"/>
    <col min="12788" max="12788" width="17.53125" style="1" customWidth="1"/>
    <col min="12789" max="12789" width="15.46484375" style="1" customWidth="1"/>
    <col min="12790" max="12790" width="16.86328125" style="1" customWidth="1"/>
    <col min="12791" max="12791" width="17.86328125" style="1" customWidth="1"/>
    <col min="12792" max="12792" width="16.1328125" style="1" customWidth="1"/>
    <col min="12793" max="12793" width="10.46484375" style="1" customWidth="1"/>
    <col min="12794" max="12794" width="10.1328125" style="1" customWidth="1"/>
    <col min="12795" max="13038" width="9.1328125" style="1"/>
    <col min="13039" max="13039" width="5.33203125" style="1" customWidth="1"/>
    <col min="13040" max="13040" width="34.19921875" style="1" customWidth="1"/>
    <col min="13041" max="13041" width="0" style="1" hidden="1" customWidth="1"/>
    <col min="13042" max="13043" width="17.46484375" style="1" customWidth="1"/>
    <col min="13044" max="13044" width="17.53125" style="1" customWidth="1"/>
    <col min="13045" max="13045" width="15.46484375" style="1" customWidth="1"/>
    <col min="13046" max="13046" width="16.86328125" style="1" customWidth="1"/>
    <col min="13047" max="13047" width="17.86328125" style="1" customWidth="1"/>
    <col min="13048" max="13048" width="16.1328125" style="1" customWidth="1"/>
    <col min="13049" max="13049" width="10.46484375" style="1" customWidth="1"/>
    <col min="13050" max="13050" width="10.1328125" style="1" customWidth="1"/>
    <col min="13051" max="13294" width="9.1328125" style="1"/>
    <col min="13295" max="13295" width="5.33203125" style="1" customWidth="1"/>
    <col min="13296" max="13296" width="34.19921875" style="1" customWidth="1"/>
    <col min="13297" max="13297" width="0" style="1" hidden="1" customWidth="1"/>
    <col min="13298" max="13299" width="17.46484375" style="1" customWidth="1"/>
    <col min="13300" max="13300" width="17.53125" style="1" customWidth="1"/>
    <col min="13301" max="13301" width="15.46484375" style="1" customWidth="1"/>
    <col min="13302" max="13302" width="16.86328125" style="1" customWidth="1"/>
    <col min="13303" max="13303" width="17.86328125" style="1" customWidth="1"/>
    <col min="13304" max="13304" width="16.1328125" style="1" customWidth="1"/>
    <col min="13305" max="13305" width="10.46484375" style="1" customWidth="1"/>
    <col min="13306" max="13306" width="10.1328125" style="1" customWidth="1"/>
    <col min="13307" max="13550" width="9.1328125" style="1"/>
    <col min="13551" max="13551" width="5.33203125" style="1" customWidth="1"/>
    <col min="13552" max="13552" width="34.19921875" style="1" customWidth="1"/>
    <col min="13553" max="13553" width="0" style="1" hidden="1" customWidth="1"/>
    <col min="13554" max="13555" width="17.46484375" style="1" customWidth="1"/>
    <col min="13556" max="13556" width="17.53125" style="1" customWidth="1"/>
    <col min="13557" max="13557" width="15.46484375" style="1" customWidth="1"/>
    <col min="13558" max="13558" width="16.86328125" style="1" customWidth="1"/>
    <col min="13559" max="13559" width="17.86328125" style="1" customWidth="1"/>
    <col min="13560" max="13560" width="16.1328125" style="1" customWidth="1"/>
    <col min="13561" max="13561" width="10.46484375" style="1" customWidth="1"/>
    <col min="13562" max="13562" width="10.1328125" style="1" customWidth="1"/>
    <col min="13563" max="13806" width="9.1328125" style="1"/>
    <col min="13807" max="13807" width="5.33203125" style="1" customWidth="1"/>
    <col min="13808" max="13808" width="34.19921875" style="1" customWidth="1"/>
    <col min="13809" max="13809" width="0" style="1" hidden="1" customWidth="1"/>
    <col min="13810" max="13811" width="17.46484375" style="1" customWidth="1"/>
    <col min="13812" max="13812" width="17.53125" style="1" customWidth="1"/>
    <col min="13813" max="13813" width="15.46484375" style="1" customWidth="1"/>
    <col min="13814" max="13814" width="16.86328125" style="1" customWidth="1"/>
    <col min="13815" max="13815" width="17.86328125" style="1" customWidth="1"/>
    <col min="13816" max="13816" width="16.1328125" style="1" customWidth="1"/>
    <col min="13817" max="13817" width="10.46484375" style="1" customWidth="1"/>
    <col min="13818" max="13818" width="10.1328125" style="1" customWidth="1"/>
    <col min="13819" max="14062" width="9.1328125" style="1"/>
    <col min="14063" max="14063" width="5.33203125" style="1" customWidth="1"/>
    <col min="14064" max="14064" width="34.19921875" style="1" customWidth="1"/>
    <col min="14065" max="14065" width="0" style="1" hidden="1" customWidth="1"/>
    <col min="14066" max="14067" width="17.46484375" style="1" customWidth="1"/>
    <col min="14068" max="14068" width="17.53125" style="1" customWidth="1"/>
    <col min="14069" max="14069" width="15.46484375" style="1" customWidth="1"/>
    <col min="14070" max="14070" width="16.86328125" style="1" customWidth="1"/>
    <col min="14071" max="14071" width="17.86328125" style="1" customWidth="1"/>
    <col min="14072" max="14072" width="16.1328125" style="1" customWidth="1"/>
    <col min="14073" max="14073" width="10.46484375" style="1" customWidth="1"/>
    <col min="14074" max="14074" width="10.1328125" style="1" customWidth="1"/>
    <col min="14075" max="14318" width="9.1328125" style="1"/>
    <col min="14319" max="14319" width="5.33203125" style="1" customWidth="1"/>
    <col min="14320" max="14320" width="34.19921875" style="1" customWidth="1"/>
    <col min="14321" max="14321" width="0" style="1" hidden="1" customWidth="1"/>
    <col min="14322" max="14323" width="17.46484375" style="1" customWidth="1"/>
    <col min="14324" max="14324" width="17.53125" style="1" customWidth="1"/>
    <col min="14325" max="14325" width="15.46484375" style="1" customWidth="1"/>
    <col min="14326" max="14326" width="16.86328125" style="1" customWidth="1"/>
    <col min="14327" max="14327" width="17.86328125" style="1" customWidth="1"/>
    <col min="14328" max="14328" width="16.1328125" style="1" customWidth="1"/>
    <col min="14329" max="14329" width="10.46484375" style="1" customWidth="1"/>
    <col min="14330" max="14330" width="10.1328125" style="1" customWidth="1"/>
    <col min="14331" max="14574" width="9.1328125" style="1"/>
    <col min="14575" max="14575" width="5.33203125" style="1" customWidth="1"/>
    <col min="14576" max="14576" width="34.19921875" style="1" customWidth="1"/>
    <col min="14577" max="14577" width="0" style="1" hidden="1" customWidth="1"/>
    <col min="14578" max="14579" width="17.46484375" style="1" customWidth="1"/>
    <col min="14580" max="14580" width="17.53125" style="1" customWidth="1"/>
    <col min="14581" max="14581" width="15.46484375" style="1" customWidth="1"/>
    <col min="14582" max="14582" width="16.86328125" style="1" customWidth="1"/>
    <col min="14583" max="14583" width="17.86328125" style="1" customWidth="1"/>
    <col min="14584" max="14584" width="16.1328125" style="1" customWidth="1"/>
    <col min="14585" max="14585" width="10.46484375" style="1" customWidth="1"/>
    <col min="14586" max="14586" width="10.1328125" style="1" customWidth="1"/>
    <col min="14587" max="14830" width="9.1328125" style="1"/>
    <col min="14831" max="14831" width="5.33203125" style="1" customWidth="1"/>
    <col min="14832" max="14832" width="34.19921875" style="1" customWidth="1"/>
    <col min="14833" max="14833" width="0" style="1" hidden="1" customWidth="1"/>
    <col min="14834" max="14835" width="17.46484375" style="1" customWidth="1"/>
    <col min="14836" max="14836" width="17.53125" style="1" customWidth="1"/>
    <col min="14837" max="14837" width="15.46484375" style="1" customWidth="1"/>
    <col min="14838" max="14838" width="16.86328125" style="1" customWidth="1"/>
    <col min="14839" max="14839" width="17.86328125" style="1" customWidth="1"/>
    <col min="14840" max="14840" width="16.1328125" style="1" customWidth="1"/>
    <col min="14841" max="14841" width="10.46484375" style="1" customWidth="1"/>
    <col min="14842" max="14842" width="10.1328125" style="1" customWidth="1"/>
    <col min="14843" max="15086" width="9.1328125" style="1"/>
    <col min="15087" max="15087" width="5.33203125" style="1" customWidth="1"/>
    <col min="15088" max="15088" width="34.19921875" style="1" customWidth="1"/>
    <col min="15089" max="15089" width="0" style="1" hidden="1" customWidth="1"/>
    <col min="15090" max="15091" width="17.46484375" style="1" customWidth="1"/>
    <col min="15092" max="15092" width="17.53125" style="1" customWidth="1"/>
    <col min="15093" max="15093" width="15.46484375" style="1" customWidth="1"/>
    <col min="15094" max="15094" width="16.86328125" style="1" customWidth="1"/>
    <col min="15095" max="15095" width="17.86328125" style="1" customWidth="1"/>
    <col min="15096" max="15096" width="16.1328125" style="1" customWidth="1"/>
    <col min="15097" max="15097" width="10.46484375" style="1" customWidth="1"/>
    <col min="15098" max="15098" width="10.1328125" style="1" customWidth="1"/>
    <col min="15099" max="15342" width="9.1328125" style="1"/>
    <col min="15343" max="15343" width="5.33203125" style="1" customWidth="1"/>
    <col min="15344" max="15344" width="34.19921875" style="1" customWidth="1"/>
    <col min="15345" max="15345" width="0" style="1" hidden="1" customWidth="1"/>
    <col min="15346" max="15347" width="17.46484375" style="1" customWidth="1"/>
    <col min="15348" max="15348" width="17.53125" style="1" customWidth="1"/>
    <col min="15349" max="15349" width="15.46484375" style="1" customWidth="1"/>
    <col min="15350" max="15350" width="16.86328125" style="1" customWidth="1"/>
    <col min="15351" max="15351" width="17.86328125" style="1" customWidth="1"/>
    <col min="15352" max="15352" width="16.1328125" style="1" customWidth="1"/>
    <col min="15353" max="15353" width="10.46484375" style="1" customWidth="1"/>
    <col min="15354" max="15354" width="10.1328125" style="1" customWidth="1"/>
    <col min="15355" max="15598" width="9.1328125" style="1"/>
    <col min="15599" max="15599" width="5.33203125" style="1" customWidth="1"/>
    <col min="15600" max="15600" width="34.19921875" style="1" customWidth="1"/>
    <col min="15601" max="15601" width="0" style="1" hidden="1" customWidth="1"/>
    <col min="15602" max="15603" width="17.46484375" style="1" customWidth="1"/>
    <col min="15604" max="15604" width="17.53125" style="1" customWidth="1"/>
    <col min="15605" max="15605" width="15.46484375" style="1" customWidth="1"/>
    <col min="15606" max="15606" width="16.86328125" style="1" customWidth="1"/>
    <col min="15607" max="15607" width="17.86328125" style="1" customWidth="1"/>
    <col min="15608" max="15608" width="16.1328125" style="1" customWidth="1"/>
    <col min="15609" max="15609" width="10.46484375" style="1" customWidth="1"/>
    <col min="15610" max="15610" width="10.1328125" style="1" customWidth="1"/>
    <col min="15611" max="15854" width="9.1328125" style="1"/>
    <col min="15855" max="15855" width="5.33203125" style="1" customWidth="1"/>
    <col min="15856" max="15856" width="34.19921875" style="1" customWidth="1"/>
    <col min="15857" max="15857" width="0" style="1" hidden="1" customWidth="1"/>
    <col min="15858" max="15859" width="17.46484375" style="1" customWidth="1"/>
    <col min="15860" max="15860" width="17.53125" style="1" customWidth="1"/>
    <col min="15861" max="15861" width="15.46484375" style="1" customWidth="1"/>
    <col min="15862" max="15862" width="16.86328125" style="1" customWidth="1"/>
    <col min="15863" max="15863" width="17.86328125" style="1" customWidth="1"/>
    <col min="15864" max="15864" width="16.1328125" style="1" customWidth="1"/>
    <col min="15865" max="15865" width="10.46484375" style="1" customWidth="1"/>
    <col min="15866" max="15866" width="10.1328125" style="1" customWidth="1"/>
    <col min="15867" max="16110" width="9.1328125" style="1"/>
    <col min="16111" max="16111" width="5.33203125" style="1" customWidth="1"/>
    <col min="16112" max="16112" width="34.19921875" style="1" customWidth="1"/>
    <col min="16113" max="16113" width="0" style="1" hidden="1" customWidth="1"/>
    <col min="16114" max="16115" width="17.46484375" style="1" customWidth="1"/>
    <col min="16116" max="16116" width="17.53125" style="1" customWidth="1"/>
    <col min="16117" max="16117" width="15.46484375" style="1" customWidth="1"/>
    <col min="16118" max="16118" width="16.86328125" style="1" customWidth="1"/>
    <col min="16119" max="16119" width="17.86328125" style="1" customWidth="1"/>
    <col min="16120" max="16120" width="16.1328125" style="1" customWidth="1"/>
    <col min="16121" max="16121" width="10.46484375" style="1" customWidth="1"/>
    <col min="16122" max="16122" width="10.1328125" style="1" customWidth="1"/>
    <col min="16123" max="16366" width="9.1328125" style="1"/>
    <col min="16367" max="16384" width="9.1328125" style="1" customWidth="1"/>
  </cols>
  <sheetData>
    <row r="1" spans="1:12">
      <c r="A1" s="112" t="s">
        <v>164</v>
      </c>
      <c r="B1" s="112"/>
      <c r="C1" s="34"/>
      <c r="D1" s="34"/>
      <c r="E1" s="34"/>
      <c r="F1" s="34"/>
      <c r="G1" s="34"/>
      <c r="H1" s="34"/>
      <c r="I1" s="34"/>
      <c r="J1" s="34"/>
      <c r="K1" s="113" t="s">
        <v>163</v>
      </c>
      <c r="L1" s="113"/>
    </row>
    <row r="2" spans="1:1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112" t="s">
        <v>166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>
      <c r="A4" s="111"/>
      <c r="B4" s="112" t="s">
        <v>202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>
      <c r="B5" s="4"/>
      <c r="C5" s="5"/>
      <c r="D5" s="5"/>
      <c r="E5" s="5"/>
      <c r="F5" s="4"/>
      <c r="G5" s="4"/>
      <c r="H5" s="6"/>
      <c r="I5" s="4"/>
      <c r="J5" s="114" t="s">
        <v>167</v>
      </c>
      <c r="K5" s="114"/>
      <c r="L5" s="114"/>
    </row>
    <row r="6" spans="1:12">
      <c r="A6" s="115" t="s">
        <v>0</v>
      </c>
      <c r="B6" s="115" t="s">
        <v>1</v>
      </c>
      <c r="C6" s="115" t="s">
        <v>2</v>
      </c>
      <c r="D6" s="115" t="s">
        <v>160</v>
      </c>
      <c r="E6" s="115"/>
      <c r="F6" s="115" t="s">
        <v>161</v>
      </c>
      <c r="G6" s="115" t="s">
        <v>3</v>
      </c>
      <c r="H6" s="115"/>
      <c r="I6" s="115"/>
      <c r="J6" s="115"/>
      <c r="K6" s="115" t="s">
        <v>4</v>
      </c>
      <c r="L6" s="115"/>
    </row>
    <row r="7" spans="1:12" ht="46.5" customHeight="1">
      <c r="A7" s="115"/>
      <c r="B7" s="115"/>
      <c r="C7" s="115"/>
      <c r="D7" s="7" t="s">
        <v>5</v>
      </c>
      <c r="E7" s="7" t="s">
        <v>6</v>
      </c>
      <c r="F7" s="115"/>
      <c r="G7" s="7" t="s">
        <v>7</v>
      </c>
      <c r="H7" s="7" t="s">
        <v>8</v>
      </c>
      <c r="I7" s="7" t="s">
        <v>9</v>
      </c>
      <c r="J7" s="7" t="s">
        <v>10</v>
      </c>
      <c r="K7" s="7" t="s">
        <v>5</v>
      </c>
      <c r="L7" s="7" t="s">
        <v>11</v>
      </c>
    </row>
    <row r="8" spans="1:12" s="9" customFormat="1" ht="15">
      <c r="A8" s="8" t="s">
        <v>12</v>
      </c>
      <c r="B8" s="8" t="s">
        <v>13</v>
      </c>
      <c r="C8" s="8" t="s">
        <v>14</v>
      </c>
      <c r="D8" s="8">
        <v>1</v>
      </c>
      <c r="E8" s="8">
        <v>2</v>
      </c>
      <c r="F8" s="8" t="s">
        <v>15</v>
      </c>
      <c r="G8" s="8">
        <v>4</v>
      </c>
      <c r="H8" s="8">
        <v>5</v>
      </c>
      <c r="I8" s="8">
        <v>6</v>
      </c>
      <c r="J8" s="8">
        <v>7</v>
      </c>
      <c r="K8" s="8" t="s">
        <v>16</v>
      </c>
      <c r="L8" s="8" t="s">
        <v>17</v>
      </c>
    </row>
    <row r="9" spans="1:12" ht="18.75" customHeight="1">
      <c r="A9" s="10"/>
      <c r="B9" s="7" t="s">
        <v>18</v>
      </c>
      <c r="C9" s="11" t="e">
        <f>+C10+C91+C98+C105+C106</f>
        <v>#REF!</v>
      </c>
      <c r="D9" s="37">
        <f>+D10+D91+D98+D105+D106</f>
        <v>353530</v>
      </c>
      <c r="E9" s="37">
        <f>+E10+E91+E98+E105+E106</f>
        <v>353530</v>
      </c>
      <c r="F9" s="36">
        <f>SUM(G9:J9)</f>
        <v>483923.46619800007</v>
      </c>
      <c r="G9" s="36">
        <f>+G10+G91+G98+G105+G106</f>
        <v>1776.7558919999999</v>
      </c>
      <c r="H9" s="36">
        <f>+H10+H91+H98+H105+H106</f>
        <v>7590.2639080000008</v>
      </c>
      <c r="I9" s="37">
        <f>+I10+I91+I98+I105+I106</f>
        <v>433063.50487400003</v>
      </c>
      <c r="J9" s="37">
        <f>+J10+J91+J98+J105+J106</f>
        <v>41492.941524000002</v>
      </c>
      <c r="K9" s="37">
        <f>+F9/D9*100</f>
        <v>136.8832818142732</v>
      </c>
      <c r="L9" s="36">
        <f>+F9/E9*100</f>
        <v>136.8832818142732</v>
      </c>
    </row>
    <row r="10" spans="1:12" ht="17.25" customHeight="1">
      <c r="A10" s="7" t="s">
        <v>12</v>
      </c>
      <c r="B10" s="12" t="s">
        <v>19</v>
      </c>
      <c r="C10" s="13" t="e">
        <f>+C11+C60+C71+C81+C82+C85</f>
        <v>#REF!</v>
      </c>
      <c r="D10" s="38">
        <f>+D11+D60+D71+D81+D82+D85</f>
        <v>60160</v>
      </c>
      <c r="E10" s="38">
        <f>+E11+E60+E71+E81+E82+E85</f>
        <v>60160</v>
      </c>
      <c r="F10" s="36">
        <f>SUM(G10:J10)</f>
        <v>35148.241547000005</v>
      </c>
      <c r="G10" s="39">
        <f>+G11+G60+G71+G81+G82+G85</f>
        <v>1776.7558919999999</v>
      </c>
      <c r="H10" s="39">
        <f>+H11+H60+H71+H81+H82+H85</f>
        <v>7589.6743080000006</v>
      </c>
      <c r="I10" s="38">
        <f>+I11+I60+I71+I81+I82+I85</f>
        <v>25595.300363000002</v>
      </c>
      <c r="J10" s="38">
        <f>+J11+J60+J71+J81+J82+J85</f>
        <v>186.51098400000001</v>
      </c>
      <c r="K10" s="37">
        <f>+F10/D10*100</f>
        <v>58.424603635305857</v>
      </c>
      <c r="L10" s="36">
        <f>+F10/E10*100</f>
        <v>58.424603635305857</v>
      </c>
    </row>
    <row r="11" spans="1:12">
      <c r="A11" s="7" t="s">
        <v>20</v>
      </c>
      <c r="B11" s="12" t="s">
        <v>21</v>
      </c>
      <c r="C11" s="13" t="e">
        <f>+C12+C16+C20+C22+C29+C30+C31+C32+C33+C36+C40+C41+C42+C43+C44+C45+C46+C54+C57+C58+C59</f>
        <v>#REF!</v>
      </c>
      <c r="D11" s="38">
        <f t="shared" ref="D11:J11" si="0">+D12+D16+D20+D22+D29+D30+D31+D32+D33+D36+D40+D41+D42+D43+D44+D45+D46+D53+D54+D57+D58+D59</f>
        <v>60160</v>
      </c>
      <c r="E11" s="38">
        <f t="shared" si="0"/>
        <v>60160</v>
      </c>
      <c r="F11" s="39">
        <f t="shared" si="0"/>
        <v>35148.241546999998</v>
      </c>
      <c r="G11" s="39">
        <f t="shared" si="0"/>
        <v>1776.7558919999999</v>
      </c>
      <c r="H11" s="39">
        <f t="shared" si="0"/>
        <v>7589.6743080000006</v>
      </c>
      <c r="I11" s="38">
        <f t="shared" si="0"/>
        <v>25595.300363000002</v>
      </c>
      <c r="J11" s="38">
        <f t="shared" si="0"/>
        <v>186.51098400000001</v>
      </c>
      <c r="K11" s="37">
        <f>+F11/D11*100</f>
        <v>58.42460363530585</v>
      </c>
      <c r="L11" s="36">
        <f>+F11/E11*100</f>
        <v>58.42460363530585</v>
      </c>
    </row>
    <row r="12" spans="1:12" s="15" customFormat="1" ht="30">
      <c r="A12" s="7">
        <v>1</v>
      </c>
      <c r="B12" s="12" t="s">
        <v>22</v>
      </c>
      <c r="C12" s="14">
        <f t="shared" ref="C12:J12" si="1">SUM(C13:C15)</f>
        <v>6579150000</v>
      </c>
      <c r="D12" s="36">
        <f t="shared" si="1"/>
        <v>0</v>
      </c>
      <c r="E12" s="36">
        <f t="shared" si="1"/>
        <v>0</v>
      </c>
      <c r="F12" s="36">
        <f>SUM(F13:F15)</f>
        <v>0.98933199999999999</v>
      </c>
      <c r="G12" s="36">
        <f t="shared" si="1"/>
        <v>0</v>
      </c>
      <c r="H12" s="36">
        <f t="shared" si="1"/>
        <v>0.98134899999999992</v>
      </c>
      <c r="I12" s="36">
        <f t="shared" si="1"/>
        <v>7.9830000000000005E-3</v>
      </c>
      <c r="J12" s="36">
        <f t="shared" si="1"/>
        <v>0</v>
      </c>
      <c r="K12" s="37"/>
      <c r="L12" s="36"/>
    </row>
    <row r="13" spans="1:12">
      <c r="A13" s="16" t="s">
        <v>23</v>
      </c>
      <c r="B13" s="17" t="s">
        <v>24</v>
      </c>
      <c r="C13" s="18">
        <v>6426410000</v>
      </c>
      <c r="D13" s="35"/>
      <c r="E13" s="35"/>
      <c r="F13" s="35">
        <f>+G13+H13+I13+J13</f>
        <v>5.3211999999999995E-2</v>
      </c>
      <c r="G13" s="35"/>
      <c r="H13" s="35">
        <f>45229/1000000</f>
        <v>4.5228999999999998E-2</v>
      </c>
      <c r="I13" s="35">
        <f>7983/1000000</f>
        <v>7.9830000000000005E-3</v>
      </c>
      <c r="J13" s="35"/>
      <c r="K13" s="40"/>
      <c r="L13" s="35"/>
    </row>
    <row r="14" spans="1:12">
      <c r="A14" s="16" t="s">
        <v>23</v>
      </c>
      <c r="B14" s="17" t="s">
        <v>25</v>
      </c>
      <c r="C14" s="18"/>
      <c r="D14" s="35"/>
      <c r="E14" s="35"/>
      <c r="F14" s="35">
        <f>+G14+H14+I14+J14</f>
        <v>0</v>
      </c>
      <c r="G14" s="35"/>
      <c r="H14" s="35"/>
      <c r="I14" s="35"/>
      <c r="J14" s="35"/>
      <c r="K14" s="40"/>
      <c r="L14" s="35"/>
    </row>
    <row r="15" spans="1:12">
      <c r="A15" s="16" t="s">
        <v>23</v>
      </c>
      <c r="B15" s="17" t="s">
        <v>26</v>
      </c>
      <c r="C15" s="18">
        <v>152740000</v>
      </c>
      <c r="D15" s="35"/>
      <c r="E15" s="35"/>
      <c r="F15" s="35">
        <f>+G15+H15+I15+J15</f>
        <v>0.93611999999999995</v>
      </c>
      <c r="G15" s="35"/>
      <c r="H15" s="35">
        <f>936120/1000000</f>
        <v>0.93611999999999995</v>
      </c>
      <c r="I15" s="35"/>
      <c r="J15" s="35"/>
      <c r="K15" s="40"/>
      <c r="L15" s="35"/>
    </row>
    <row r="16" spans="1:12" s="15" customFormat="1" ht="30">
      <c r="A16" s="7">
        <v>2</v>
      </c>
      <c r="B16" s="12" t="s">
        <v>27</v>
      </c>
      <c r="C16" s="14">
        <f t="shared" ref="C16:J16" si="2">SUM(C17:C19)</f>
        <v>2475070000</v>
      </c>
      <c r="D16" s="36">
        <f t="shared" si="2"/>
        <v>450</v>
      </c>
      <c r="E16" s="36">
        <f t="shared" si="2"/>
        <v>450</v>
      </c>
      <c r="F16" s="36">
        <f>SUM(F17:F19)</f>
        <v>571.51938399999995</v>
      </c>
      <c r="G16" s="36">
        <f t="shared" si="2"/>
        <v>0</v>
      </c>
      <c r="H16" s="36">
        <f t="shared" si="2"/>
        <v>486.08359999999999</v>
      </c>
      <c r="I16" s="36">
        <f t="shared" si="2"/>
        <v>85.435783999999998</v>
      </c>
      <c r="J16" s="36">
        <f t="shared" si="2"/>
        <v>0</v>
      </c>
      <c r="K16" s="37">
        <f>F16/D16*100</f>
        <v>127.00430755555554</v>
      </c>
      <c r="L16" s="36">
        <f>F16/E16*100</f>
        <v>127.00430755555554</v>
      </c>
    </row>
    <row r="17" spans="1:12">
      <c r="A17" s="16" t="s">
        <v>23</v>
      </c>
      <c r="B17" s="17" t="s">
        <v>24</v>
      </c>
      <c r="C17" s="18">
        <v>885640000</v>
      </c>
      <c r="D17" s="35"/>
      <c r="E17" s="35"/>
      <c r="F17" s="35">
        <f>+G17+H17+I17+J17</f>
        <v>2.7465739999999998</v>
      </c>
      <c r="G17" s="35"/>
      <c r="H17" s="35">
        <f>2334587/1000000</f>
        <v>2.334587</v>
      </c>
      <c r="I17" s="35">
        <f>411987/1000000</f>
        <v>0.41198699999999999</v>
      </c>
      <c r="J17" s="35"/>
      <c r="K17" s="37"/>
      <c r="L17" s="35"/>
    </row>
    <row r="18" spans="1:12">
      <c r="A18" s="16" t="s">
        <v>23</v>
      </c>
      <c r="B18" s="17" t="s">
        <v>25</v>
      </c>
      <c r="C18" s="18">
        <v>288640000</v>
      </c>
      <c r="D18" s="35">
        <f>450000000/1000000</f>
        <v>450</v>
      </c>
      <c r="E18" s="35">
        <f>450000000/1000000</f>
        <v>450</v>
      </c>
      <c r="F18" s="35">
        <f>+G18+H18+I18+J18</f>
        <v>566.82530999999994</v>
      </c>
      <c r="G18" s="35"/>
      <c r="H18" s="35">
        <f>481801513/1000000</f>
        <v>481.801513</v>
      </c>
      <c r="I18" s="35">
        <f>85023797/1000000</f>
        <v>85.023797000000002</v>
      </c>
      <c r="J18" s="35"/>
      <c r="K18" s="40">
        <f>F18/D18*100</f>
        <v>125.96117999999998</v>
      </c>
      <c r="L18" s="35">
        <f>F18/E18*100</f>
        <v>125.96117999999998</v>
      </c>
    </row>
    <row r="19" spans="1:12">
      <c r="A19" s="16" t="s">
        <v>23</v>
      </c>
      <c r="B19" s="17" t="s">
        <v>26</v>
      </c>
      <c r="C19" s="18">
        <v>1300790000</v>
      </c>
      <c r="D19" s="35"/>
      <c r="E19" s="35"/>
      <c r="F19" s="35">
        <f>+G19+H19+I19+J19</f>
        <v>1.9475</v>
      </c>
      <c r="G19" s="35"/>
      <c r="H19" s="35">
        <f>1947500/1000000</f>
        <v>1.9475</v>
      </c>
      <c r="I19" s="35"/>
      <c r="J19" s="35"/>
      <c r="K19" s="40"/>
      <c r="L19" s="35"/>
    </row>
    <row r="20" spans="1:12" s="15" customFormat="1" ht="30">
      <c r="A20" s="7">
        <v>3</v>
      </c>
      <c r="B20" s="12" t="s">
        <v>28</v>
      </c>
      <c r="C20" s="14">
        <f t="shared" ref="C20:J20" si="3">SUM(C21:C21)</f>
        <v>6178020000</v>
      </c>
      <c r="D20" s="36">
        <f t="shared" si="3"/>
        <v>0</v>
      </c>
      <c r="E20" s="36">
        <f t="shared" si="3"/>
        <v>0</v>
      </c>
      <c r="F20" s="36">
        <f t="shared" si="3"/>
        <v>0</v>
      </c>
      <c r="G20" s="36">
        <f t="shared" si="3"/>
        <v>0</v>
      </c>
      <c r="H20" s="36">
        <f t="shared" si="3"/>
        <v>0</v>
      </c>
      <c r="I20" s="36">
        <f t="shared" si="3"/>
        <v>0</v>
      </c>
      <c r="J20" s="36">
        <f t="shared" si="3"/>
        <v>0</v>
      </c>
      <c r="K20" s="37"/>
      <c r="L20" s="36"/>
    </row>
    <row r="21" spans="1:12">
      <c r="A21" s="16" t="s">
        <v>23</v>
      </c>
      <c r="B21" s="17" t="s">
        <v>25</v>
      </c>
      <c r="C21" s="18">
        <v>6178020000</v>
      </c>
      <c r="D21" s="35"/>
      <c r="E21" s="35"/>
      <c r="F21" s="41">
        <f>SUM(G21:J21)</f>
        <v>0</v>
      </c>
      <c r="G21" s="35"/>
      <c r="H21" s="35"/>
      <c r="I21" s="35"/>
      <c r="J21" s="35"/>
      <c r="K21" s="40"/>
      <c r="L21" s="35"/>
    </row>
    <row r="22" spans="1:12" s="15" customFormat="1" ht="30">
      <c r="A22" s="7">
        <v>4</v>
      </c>
      <c r="B22" s="12" t="s">
        <v>29</v>
      </c>
      <c r="C22" s="14">
        <f>SUM(C23:C28)</f>
        <v>33647050000</v>
      </c>
      <c r="D22" s="36">
        <f>D23+D24+D25+D26</f>
        <v>48000</v>
      </c>
      <c r="E22" s="36">
        <f t="shared" ref="E22:J22" si="4">E23+E24+E25+E26</f>
        <v>48000</v>
      </c>
      <c r="F22" s="36">
        <f t="shared" si="4"/>
        <v>30466.486267</v>
      </c>
      <c r="G22" s="36">
        <f t="shared" si="4"/>
        <v>0</v>
      </c>
      <c r="H22" s="36">
        <f t="shared" si="4"/>
        <v>6107.8622300000006</v>
      </c>
      <c r="I22" s="36">
        <f t="shared" si="4"/>
        <v>24358.624037000001</v>
      </c>
      <c r="J22" s="36">
        <f t="shared" si="4"/>
        <v>0</v>
      </c>
      <c r="K22" s="37">
        <f>+F22/D22*100</f>
        <v>63.471846389583334</v>
      </c>
      <c r="L22" s="36">
        <f t="shared" ref="L22:L29" si="5">+F22/E22*100</f>
        <v>63.471846389583334</v>
      </c>
    </row>
    <row r="23" spans="1:12">
      <c r="A23" s="16" t="s">
        <v>23</v>
      </c>
      <c r="B23" s="17" t="s">
        <v>30</v>
      </c>
      <c r="C23" s="18">
        <v>15304830000</v>
      </c>
      <c r="D23" s="35">
        <f>25420000000/1000000</f>
        <v>25420</v>
      </c>
      <c r="E23" s="35">
        <f>25420000000/1000000</f>
        <v>25420</v>
      </c>
      <c r="F23" s="35">
        <f t="shared" ref="F23:F45" si="6">+G23+H23+I23+J23</f>
        <v>18420.413048999999</v>
      </c>
      <c r="G23" s="35"/>
      <c r="H23" s="35">
        <f>2763061820/1000000</f>
        <v>2763.0618199999999</v>
      </c>
      <c r="I23" s="35">
        <f>15657351229/1000000</f>
        <v>15657.351229</v>
      </c>
      <c r="J23" s="35"/>
      <c r="K23" s="40">
        <f t="shared" ref="K23:K28" si="7">+F23/D23*100</f>
        <v>72.464252749803308</v>
      </c>
      <c r="L23" s="35">
        <f t="shared" si="5"/>
        <v>72.464252749803308</v>
      </c>
    </row>
    <row r="24" spans="1:12">
      <c r="A24" s="16" t="s">
        <v>23</v>
      </c>
      <c r="B24" s="17" t="s">
        <v>31</v>
      </c>
      <c r="C24" s="18">
        <v>576670000</v>
      </c>
      <c r="D24" s="35">
        <f>3080000000/1000000</f>
        <v>3080</v>
      </c>
      <c r="E24" s="35">
        <f>3080000000/1000000</f>
        <v>3080</v>
      </c>
      <c r="F24" s="35">
        <f t="shared" si="6"/>
        <v>1078.6909419999999</v>
      </c>
      <c r="G24" s="35"/>
      <c r="H24" s="35">
        <f>161803635/1000000</f>
        <v>161.80363500000001</v>
      </c>
      <c r="I24" s="35">
        <f>916887307/1000000</f>
        <v>916.88730699999996</v>
      </c>
      <c r="J24" s="35"/>
      <c r="K24" s="40">
        <f t="shared" si="7"/>
        <v>35.02243318181818</v>
      </c>
      <c r="L24" s="35">
        <f t="shared" si="5"/>
        <v>35.02243318181818</v>
      </c>
    </row>
    <row r="25" spans="1:12">
      <c r="A25" s="16" t="s">
        <v>23</v>
      </c>
      <c r="B25" s="17" t="s">
        <v>32</v>
      </c>
      <c r="C25" s="18">
        <v>60530000</v>
      </c>
      <c r="D25" s="35"/>
      <c r="E25" s="35"/>
      <c r="F25" s="35">
        <f t="shared" si="6"/>
        <v>22.696583</v>
      </c>
      <c r="G25" s="35"/>
      <c r="H25" s="35"/>
      <c r="I25" s="35">
        <f>22696583/1000000</f>
        <v>22.696583</v>
      </c>
      <c r="J25" s="35"/>
      <c r="K25" s="40"/>
      <c r="L25" s="35"/>
    </row>
    <row r="26" spans="1:12">
      <c r="A26" s="16" t="s">
        <v>23</v>
      </c>
      <c r="B26" s="17" t="s">
        <v>33</v>
      </c>
      <c r="C26" s="18">
        <v>16474760000</v>
      </c>
      <c r="D26" s="35">
        <f>D27+D28</f>
        <v>19500</v>
      </c>
      <c r="E26" s="35">
        <f>E27+E28</f>
        <v>19500</v>
      </c>
      <c r="F26" s="35">
        <f t="shared" si="6"/>
        <v>10944.685692999999</v>
      </c>
      <c r="G26" s="35"/>
      <c r="H26" s="35">
        <f>3182996775/1000000</f>
        <v>3182.9967750000001</v>
      </c>
      <c r="I26" s="35">
        <f>7761688918/1000000</f>
        <v>7761.6889179999998</v>
      </c>
      <c r="J26" s="35"/>
      <c r="K26" s="40">
        <f t="shared" si="7"/>
        <v>56.126593297435889</v>
      </c>
      <c r="L26" s="35">
        <f t="shared" si="5"/>
        <v>56.126593297435889</v>
      </c>
    </row>
    <row r="27" spans="1:12" s="22" customFormat="1">
      <c r="A27" s="19"/>
      <c r="B27" s="20" t="s">
        <v>34</v>
      </c>
      <c r="C27" s="21">
        <v>237350000</v>
      </c>
      <c r="D27" s="42">
        <f>19200000000/1000000</f>
        <v>19200</v>
      </c>
      <c r="E27" s="42">
        <f>19200000000/1000000</f>
        <v>19200</v>
      </c>
      <c r="F27" s="42">
        <f>+G27+H27+I27+J27</f>
        <v>9989.3363950000003</v>
      </c>
      <c r="G27" s="42"/>
      <c r="H27" s="35">
        <f>2996800906/1000000</f>
        <v>2996.8009059999999</v>
      </c>
      <c r="I27" s="35">
        <f>6992535489/1000000</f>
        <v>6992.5354889999999</v>
      </c>
      <c r="J27" s="42"/>
      <c r="K27" s="43">
        <f t="shared" si="7"/>
        <v>52.027793723958339</v>
      </c>
      <c r="L27" s="42">
        <f t="shared" si="5"/>
        <v>52.027793723958339</v>
      </c>
    </row>
    <row r="28" spans="1:12" s="22" customFormat="1">
      <c r="A28" s="19"/>
      <c r="B28" s="20" t="s">
        <v>35</v>
      </c>
      <c r="C28" s="21">
        <v>992910000</v>
      </c>
      <c r="D28" s="42">
        <f>300000000/1000000</f>
        <v>300</v>
      </c>
      <c r="E28" s="42">
        <f>300000000/1000000</f>
        <v>300</v>
      </c>
      <c r="F28" s="42">
        <f t="shared" si="6"/>
        <v>0</v>
      </c>
      <c r="G28" s="42"/>
      <c r="H28" s="42"/>
      <c r="I28" s="42"/>
      <c r="J28" s="42"/>
      <c r="K28" s="43">
        <f t="shared" si="7"/>
        <v>0</v>
      </c>
      <c r="L28" s="42">
        <f t="shared" si="5"/>
        <v>0</v>
      </c>
    </row>
    <row r="29" spans="1:12" s="15" customFormat="1" ht="15">
      <c r="A29" s="7">
        <v>5</v>
      </c>
      <c r="B29" s="12" t="s">
        <v>36</v>
      </c>
      <c r="C29" s="23">
        <v>1061750000</v>
      </c>
      <c r="D29" s="36">
        <f>1000000000/1000000</f>
        <v>1000</v>
      </c>
      <c r="E29" s="36">
        <f>1000000000/1000000</f>
        <v>1000</v>
      </c>
      <c r="F29" s="36">
        <f t="shared" si="6"/>
        <v>515.20569799999998</v>
      </c>
      <c r="G29" s="36"/>
      <c r="H29" s="36">
        <v>0</v>
      </c>
      <c r="I29" s="36">
        <f>507823644/1000000</f>
        <v>507.823644</v>
      </c>
      <c r="J29" s="36">
        <f>7382054/1000000</f>
        <v>7.3820540000000001</v>
      </c>
      <c r="K29" s="37">
        <f>+F29/D29*100</f>
        <v>51.52056979999999</v>
      </c>
      <c r="L29" s="36">
        <f t="shared" si="5"/>
        <v>51.52056979999999</v>
      </c>
    </row>
    <row r="30" spans="1:12" s="15" customFormat="1">
      <c r="A30" s="7">
        <v>6</v>
      </c>
      <c r="B30" s="12" t="s">
        <v>37</v>
      </c>
      <c r="C30" s="23">
        <v>44770000</v>
      </c>
      <c r="D30" s="36"/>
      <c r="E30" s="36"/>
      <c r="F30" s="35">
        <f t="shared" si="6"/>
        <v>0</v>
      </c>
      <c r="G30" s="36"/>
      <c r="H30" s="36"/>
      <c r="I30" s="36"/>
      <c r="J30" s="36"/>
      <c r="K30" s="37"/>
      <c r="L30" s="36"/>
    </row>
    <row r="31" spans="1:12" s="15" customFormat="1" ht="15">
      <c r="A31" s="7">
        <v>7</v>
      </c>
      <c r="B31" s="12" t="s">
        <v>38</v>
      </c>
      <c r="C31" s="23"/>
      <c r="D31" s="36">
        <v>0</v>
      </c>
      <c r="E31" s="36">
        <v>0</v>
      </c>
      <c r="F31" s="36">
        <f t="shared" si="6"/>
        <v>1.0609299999999999</v>
      </c>
      <c r="G31" s="36"/>
      <c r="H31" s="36">
        <v>0</v>
      </c>
      <c r="I31" s="36"/>
      <c r="J31" s="36">
        <f>1060930/1000000</f>
        <v>1.0609299999999999</v>
      </c>
      <c r="K31" s="37"/>
      <c r="L31" s="36"/>
    </row>
    <row r="32" spans="1:12" s="15" customFormat="1" ht="15">
      <c r="A32" s="7">
        <v>8</v>
      </c>
      <c r="B32" s="12" t="s">
        <v>39</v>
      </c>
      <c r="C32" s="23">
        <v>1283480000</v>
      </c>
      <c r="D32" s="36">
        <f>600000000/1000000</f>
        <v>600</v>
      </c>
      <c r="E32" s="36">
        <f>600000000/1000000</f>
        <v>600</v>
      </c>
      <c r="F32" s="36">
        <f t="shared" si="6"/>
        <v>492.11279999999999</v>
      </c>
      <c r="G32" s="36"/>
      <c r="H32" s="36">
        <f>34130378/1000000</f>
        <v>34.130378</v>
      </c>
      <c r="I32" s="36">
        <f>457982422/1000000</f>
        <v>457.98242199999999</v>
      </c>
      <c r="J32" s="36"/>
      <c r="K32" s="37">
        <f>+F32/D32*100</f>
        <v>82.018799999999999</v>
      </c>
      <c r="L32" s="36">
        <f>+F32/E32*100</f>
        <v>82.018799999999999</v>
      </c>
    </row>
    <row r="33" spans="1:12" s="15" customFormat="1">
      <c r="A33" s="7">
        <v>9</v>
      </c>
      <c r="B33" s="12" t="s">
        <v>40</v>
      </c>
      <c r="C33" s="23"/>
      <c r="D33" s="36"/>
      <c r="E33" s="36"/>
      <c r="F33" s="35">
        <f t="shared" si="6"/>
        <v>0</v>
      </c>
      <c r="G33" s="36"/>
      <c r="H33" s="36"/>
      <c r="I33" s="36"/>
      <c r="J33" s="36"/>
      <c r="K33" s="37"/>
      <c r="L33" s="36"/>
    </row>
    <row r="34" spans="1:12" ht="30.75" hidden="1">
      <c r="A34" s="10"/>
      <c r="B34" s="24" t="s">
        <v>41</v>
      </c>
      <c r="C34" s="21"/>
      <c r="D34" s="35"/>
      <c r="E34" s="35"/>
      <c r="F34" s="35">
        <f t="shared" si="6"/>
        <v>0</v>
      </c>
      <c r="G34" s="35"/>
      <c r="H34" s="35"/>
      <c r="I34" s="35"/>
      <c r="J34" s="35"/>
      <c r="K34" s="40"/>
      <c r="L34" s="35"/>
    </row>
    <row r="35" spans="1:12" ht="30.75" hidden="1">
      <c r="A35" s="10"/>
      <c r="B35" s="24" t="s">
        <v>42</v>
      </c>
      <c r="C35" s="21"/>
      <c r="D35" s="35"/>
      <c r="E35" s="35"/>
      <c r="F35" s="35">
        <f t="shared" si="6"/>
        <v>0</v>
      </c>
      <c r="G35" s="35"/>
      <c r="H35" s="35"/>
      <c r="I35" s="35"/>
      <c r="J35" s="35"/>
      <c r="K35" s="40"/>
      <c r="L35" s="35"/>
    </row>
    <row r="36" spans="1:12" s="15" customFormat="1" ht="15">
      <c r="A36" s="7">
        <v>10</v>
      </c>
      <c r="B36" s="12" t="s">
        <v>43</v>
      </c>
      <c r="C36" s="14">
        <v>1570260000</v>
      </c>
      <c r="D36" s="37">
        <v>440</v>
      </c>
      <c r="E36" s="37">
        <v>440</v>
      </c>
      <c r="F36" s="37">
        <f t="shared" ref="F36:J36" si="8">+F37+F38</f>
        <v>291.08485899999999</v>
      </c>
      <c r="G36" s="37">
        <f t="shared" si="8"/>
        <v>23.827677000000001</v>
      </c>
      <c r="H36" s="37">
        <f t="shared" si="8"/>
        <v>0</v>
      </c>
      <c r="I36" s="37">
        <f t="shared" si="8"/>
        <v>89.189182000000002</v>
      </c>
      <c r="J36" s="37">
        <f t="shared" si="8"/>
        <v>178.06800000000001</v>
      </c>
      <c r="K36" s="37">
        <f>+F36/D36*100</f>
        <v>66.155649772727273</v>
      </c>
      <c r="L36" s="36">
        <f>+F36/E36*100</f>
        <v>66.155649772727273</v>
      </c>
    </row>
    <row r="37" spans="1:12" ht="30.75">
      <c r="A37" s="16" t="s">
        <v>23</v>
      </c>
      <c r="B37" s="17" t="s">
        <v>44</v>
      </c>
      <c r="C37" s="18">
        <v>10200000</v>
      </c>
      <c r="D37" s="35"/>
      <c r="E37" s="35"/>
      <c r="F37" s="35">
        <f t="shared" si="6"/>
        <v>24.827677000000001</v>
      </c>
      <c r="G37" s="35">
        <f>23827677/1000000</f>
        <v>23.827677000000001</v>
      </c>
      <c r="H37" s="35"/>
      <c r="I37" s="35"/>
      <c r="J37" s="35">
        <f>1000000/1000000</f>
        <v>1</v>
      </c>
      <c r="K37" s="40"/>
      <c r="L37" s="35"/>
    </row>
    <row r="38" spans="1:12" ht="30.75">
      <c r="A38" s="16" t="s">
        <v>23</v>
      </c>
      <c r="B38" s="17" t="s">
        <v>45</v>
      </c>
      <c r="C38" s="18">
        <v>1560060000</v>
      </c>
      <c r="D38" s="35">
        <v>425</v>
      </c>
      <c r="E38" s="35">
        <v>425</v>
      </c>
      <c r="F38" s="35">
        <f t="shared" si="6"/>
        <v>266.257182</v>
      </c>
      <c r="G38" s="35"/>
      <c r="H38" s="35"/>
      <c r="I38" s="35">
        <f>89189182/1000000</f>
        <v>89.189182000000002</v>
      </c>
      <c r="J38" s="35">
        <f>37+129.9+10.168</f>
        <v>177.06800000000001</v>
      </c>
      <c r="K38" s="40">
        <f>+F38/D38*100</f>
        <v>62.648748705882355</v>
      </c>
      <c r="L38" s="35">
        <f>+F38/E38*100</f>
        <v>62.648748705882355</v>
      </c>
    </row>
    <row r="39" spans="1:12" s="22" customFormat="1" ht="30.75">
      <c r="A39" s="19"/>
      <c r="B39" s="24" t="s">
        <v>46</v>
      </c>
      <c r="C39" s="21">
        <v>1465640000</v>
      </c>
      <c r="D39" s="42">
        <v>120</v>
      </c>
      <c r="E39" s="42">
        <v>120</v>
      </c>
      <c r="F39" s="42">
        <f t="shared" si="6"/>
        <v>66.809532000000004</v>
      </c>
      <c r="G39" s="42"/>
      <c r="H39" s="42"/>
      <c r="I39" s="35">
        <f>66809532/1000000</f>
        <v>66.809532000000004</v>
      </c>
      <c r="J39" s="42"/>
      <c r="K39" s="43">
        <f>+F39/D39*100</f>
        <v>55.674610000000001</v>
      </c>
      <c r="L39" s="42">
        <f>+F39/E39*100</f>
        <v>55.674610000000001</v>
      </c>
    </row>
    <row r="40" spans="1:12" s="15" customFormat="1" ht="15">
      <c r="A40" s="7">
        <v>11</v>
      </c>
      <c r="B40" s="12" t="s">
        <v>47</v>
      </c>
      <c r="C40" s="14" t="e">
        <f>SUM(#REF!)</f>
        <v>#REF!</v>
      </c>
      <c r="D40" s="36">
        <v>1150</v>
      </c>
      <c r="E40" s="36">
        <v>1150</v>
      </c>
      <c r="F40" s="36">
        <f t="shared" si="6"/>
        <v>0</v>
      </c>
      <c r="G40" s="36"/>
      <c r="H40" s="36"/>
      <c r="I40" s="36"/>
      <c r="J40" s="36"/>
      <c r="K40" s="37">
        <f>+F40/D40*100</f>
        <v>0</v>
      </c>
      <c r="L40" s="36">
        <f>+F40/E40*100</f>
        <v>0</v>
      </c>
    </row>
    <row r="41" spans="1:12" s="15" customFormat="1" ht="15">
      <c r="A41" s="7" t="s">
        <v>48</v>
      </c>
      <c r="B41" s="12" t="s">
        <v>49</v>
      </c>
      <c r="C41" s="23">
        <v>115920000</v>
      </c>
      <c r="D41" s="36">
        <v>60</v>
      </c>
      <c r="E41" s="36">
        <v>60</v>
      </c>
      <c r="F41" s="36">
        <f t="shared" si="6"/>
        <v>16.912990000000001</v>
      </c>
      <c r="G41" s="36"/>
      <c r="H41" s="36">
        <f>3382598/1000000</f>
        <v>3.3825980000000002</v>
      </c>
      <c r="I41" s="36">
        <f>13530392/1000000</f>
        <v>13.530392000000001</v>
      </c>
      <c r="J41" s="36"/>
      <c r="K41" s="37">
        <f>+F41/D41*100</f>
        <v>28.188316666666669</v>
      </c>
      <c r="L41" s="36">
        <f>+F41/E41*100</f>
        <v>28.188316666666669</v>
      </c>
    </row>
    <row r="42" spans="1:12" s="15" customFormat="1">
      <c r="A42" s="7">
        <v>13</v>
      </c>
      <c r="B42" s="12" t="s">
        <v>50</v>
      </c>
      <c r="C42" s="23"/>
      <c r="D42" s="36"/>
      <c r="E42" s="36"/>
      <c r="F42" s="35">
        <f t="shared" si="6"/>
        <v>0</v>
      </c>
      <c r="G42" s="36"/>
      <c r="H42" s="36"/>
      <c r="I42" s="36"/>
      <c r="J42" s="36"/>
      <c r="K42" s="37"/>
      <c r="L42" s="36"/>
    </row>
    <row r="43" spans="1:12">
      <c r="A43" s="7">
        <v>14</v>
      </c>
      <c r="B43" s="12" t="s">
        <v>51</v>
      </c>
      <c r="C43" s="23"/>
      <c r="D43" s="35"/>
      <c r="E43" s="35"/>
      <c r="F43" s="35">
        <f t="shared" si="6"/>
        <v>0</v>
      </c>
      <c r="G43" s="35"/>
      <c r="H43" s="35"/>
      <c r="I43" s="35"/>
      <c r="J43" s="35"/>
      <c r="K43" s="40"/>
      <c r="L43" s="35"/>
    </row>
    <row r="44" spans="1:12" ht="30">
      <c r="A44" s="7">
        <v>15</v>
      </c>
      <c r="B44" s="12" t="s">
        <v>52</v>
      </c>
      <c r="C44" s="23"/>
      <c r="D44" s="35"/>
      <c r="E44" s="35"/>
      <c r="F44" s="35">
        <f t="shared" si="6"/>
        <v>0</v>
      </c>
      <c r="G44" s="35"/>
      <c r="H44" s="35"/>
      <c r="I44" s="35"/>
      <c r="J44" s="35"/>
      <c r="K44" s="40"/>
      <c r="L44" s="35"/>
    </row>
    <row r="45" spans="1:12" ht="30">
      <c r="A45" s="7">
        <v>16</v>
      </c>
      <c r="B45" s="12" t="s">
        <v>53</v>
      </c>
      <c r="C45" s="23"/>
      <c r="D45" s="35"/>
      <c r="E45" s="35"/>
      <c r="F45" s="35">
        <f t="shared" si="6"/>
        <v>0</v>
      </c>
      <c r="G45" s="35"/>
      <c r="H45" s="35"/>
      <c r="I45" s="35"/>
      <c r="J45" s="35"/>
      <c r="K45" s="40"/>
      <c r="L45" s="35"/>
    </row>
    <row r="46" spans="1:12" s="15" customFormat="1" ht="15">
      <c r="A46" s="7">
        <v>17</v>
      </c>
      <c r="B46" s="12" t="s">
        <v>54</v>
      </c>
      <c r="C46" s="23">
        <v>3364760000</v>
      </c>
      <c r="D46" s="37">
        <f>D47+D49+D50+D52</f>
        <v>1000</v>
      </c>
      <c r="E46" s="37">
        <f>E47+E49+E50+E52</f>
        <v>1000</v>
      </c>
      <c r="F46" s="37">
        <f>F47+F49+F50+F51+F52</f>
        <v>418.755448</v>
      </c>
      <c r="G46" s="37">
        <f>G47+G49+G50+G51+G52</f>
        <v>336.04852899999997</v>
      </c>
      <c r="H46" s="37">
        <f>H47+H49+H50+H51+H52</f>
        <v>0</v>
      </c>
      <c r="I46" s="37">
        <f>I47+I49+I50+I51+I52</f>
        <v>82.706918999999999</v>
      </c>
      <c r="J46" s="37">
        <f>J47+J49+J50+J51+J52</f>
        <v>0</v>
      </c>
      <c r="K46" s="37">
        <f>+F46/D46*100</f>
        <v>41.8755448</v>
      </c>
      <c r="L46" s="36">
        <f>+F46/E46*100</f>
        <v>41.8755448</v>
      </c>
    </row>
    <row r="47" spans="1:12">
      <c r="A47" s="16" t="s">
        <v>23</v>
      </c>
      <c r="B47" s="17" t="s">
        <v>55</v>
      </c>
      <c r="C47" s="18">
        <v>132130000</v>
      </c>
      <c r="D47" s="35">
        <v>360</v>
      </c>
      <c r="E47" s="35">
        <v>360</v>
      </c>
      <c r="F47" s="35">
        <f>+G47+H47+I47+J47</f>
        <v>334.535529</v>
      </c>
      <c r="G47" s="35">
        <f>328035529/1000000</f>
        <v>328.035529</v>
      </c>
      <c r="H47" s="35"/>
      <c r="I47" s="35">
        <f>6500000/1000000</f>
        <v>6.5</v>
      </c>
      <c r="J47" s="35"/>
      <c r="K47" s="40">
        <f>+F47/D47*100</f>
        <v>92.926535833333332</v>
      </c>
      <c r="L47" s="35">
        <f>+F47/E47*100</f>
        <v>92.926535833333332</v>
      </c>
    </row>
    <row r="48" spans="1:12" s="22" customFormat="1">
      <c r="A48" s="16" t="s">
        <v>56</v>
      </c>
      <c r="B48" s="24" t="s">
        <v>57</v>
      </c>
      <c r="C48" s="21"/>
      <c r="D48" s="42">
        <v>30</v>
      </c>
      <c r="E48" s="42">
        <v>30</v>
      </c>
      <c r="F48" s="42">
        <f>+G48+H48+I48+J48</f>
        <v>238.756</v>
      </c>
      <c r="G48" s="42">
        <f>238756000/1000000</f>
        <v>238.756</v>
      </c>
      <c r="H48" s="42"/>
      <c r="I48" s="42"/>
      <c r="J48" s="42"/>
      <c r="K48" s="43"/>
      <c r="L48" s="42"/>
    </row>
    <row r="49" spans="1:12">
      <c r="A49" s="16" t="s">
        <v>23</v>
      </c>
      <c r="B49" s="17" t="s">
        <v>58</v>
      </c>
      <c r="C49" s="18"/>
      <c r="D49" s="35"/>
      <c r="E49" s="35"/>
      <c r="F49" s="35">
        <f t="shared" ref="F49:F97" si="9">+G49+H49+I49+J49</f>
        <v>0</v>
      </c>
      <c r="G49" s="35"/>
      <c r="H49" s="35"/>
      <c r="I49" s="35"/>
      <c r="J49" s="35"/>
      <c r="K49" s="40"/>
      <c r="L49" s="35"/>
    </row>
    <row r="50" spans="1:12">
      <c r="A50" s="16" t="s">
        <v>23</v>
      </c>
      <c r="B50" s="17" t="s">
        <v>162</v>
      </c>
      <c r="C50" s="18">
        <v>132130000</v>
      </c>
      <c r="D50" s="35"/>
      <c r="E50" s="35"/>
      <c r="F50" s="35">
        <f>+G50+H50+I50+J50</f>
        <v>78.320122000000012</v>
      </c>
      <c r="G50" s="35">
        <f>8013000/1000000</f>
        <v>8.0129999999999999</v>
      </c>
      <c r="H50" s="35"/>
      <c r="I50" s="35">
        <f>70307122/1000000</f>
        <v>70.307122000000007</v>
      </c>
      <c r="J50" s="35"/>
      <c r="K50" s="40">
        <v>0</v>
      </c>
      <c r="L50" s="35">
        <v>0</v>
      </c>
    </row>
    <row r="51" spans="1:12">
      <c r="A51" s="16" t="s">
        <v>23</v>
      </c>
      <c r="B51" s="25" t="s">
        <v>59</v>
      </c>
      <c r="C51" s="18"/>
      <c r="D51" s="35"/>
      <c r="E51" s="35"/>
      <c r="F51" s="35">
        <f t="shared" si="9"/>
        <v>5.7218799999999996</v>
      </c>
      <c r="G51" s="35"/>
      <c r="H51" s="35"/>
      <c r="I51" s="35">
        <f>5721880/1000000</f>
        <v>5.7218799999999996</v>
      </c>
      <c r="J51" s="35"/>
      <c r="K51" s="40"/>
      <c r="L51" s="35"/>
    </row>
    <row r="52" spans="1:12">
      <c r="A52" s="16" t="s">
        <v>23</v>
      </c>
      <c r="B52" s="17" t="s">
        <v>60</v>
      </c>
      <c r="C52" s="18"/>
      <c r="D52" s="35">
        <v>640</v>
      </c>
      <c r="E52" s="35">
        <v>640</v>
      </c>
      <c r="F52" s="35">
        <f>+G52+H52+I52+J52</f>
        <v>0.17791699999999999</v>
      </c>
      <c r="G52" s="35"/>
      <c r="H52" s="35"/>
      <c r="I52" s="35">
        <f>177917/1000000</f>
        <v>0.17791699999999999</v>
      </c>
      <c r="J52" s="35"/>
      <c r="K52" s="40"/>
      <c r="L52" s="35"/>
    </row>
    <row r="53" spans="1:12">
      <c r="A53" s="7">
        <v>18</v>
      </c>
      <c r="B53" s="12" t="s">
        <v>60</v>
      </c>
      <c r="C53" s="21"/>
      <c r="D53" s="36">
        <v>0</v>
      </c>
      <c r="E53" s="36">
        <v>0</v>
      </c>
      <c r="F53" s="35">
        <f t="shared" si="9"/>
        <v>0</v>
      </c>
      <c r="G53" s="35"/>
      <c r="H53" s="36"/>
      <c r="I53" s="35"/>
      <c r="J53" s="35"/>
      <c r="K53" s="40"/>
      <c r="L53" s="35"/>
    </row>
    <row r="54" spans="1:12" ht="30">
      <c r="A54" s="7">
        <v>19</v>
      </c>
      <c r="B54" s="12" t="s">
        <v>61</v>
      </c>
      <c r="C54" s="23">
        <f>SUM(C55:C56)</f>
        <v>3327500000</v>
      </c>
      <c r="D54" s="39">
        <f>D55+D56</f>
        <v>7460</v>
      </c>
      <c r="E54" s="39">
        <f t="shared" ref="E54:J54" si="10">E55+E56</f>
        <v>7460</v>
      </c>
      <c r="F54" s="39">
        <f t="shared" si="10"/>
        <v>2374.1138390000001</v>
      </c>
      <c r="G54" s="39">
        <f t="shared" si="10"/>
        <v>1416.879686</v>
      </c>
      <c r="H54" s="39">
        <f>H55+H56</f>
        <v>957.23415299999999</v>
      </c>
      <c r="I54" s="39">
        <f t="shared" si="10"/>
        <v>0</v>
      </c>
      <c r="J54" s="39">
        <f t="shared" si="10"/>
        <v>0</v>
      </c>
      <c r="K54" s="37">
        <f>F54/D54*100</f>
        <v>31.824582292225202</v>
      </c>
      <c r="L54" s="36">
        <f>F54/E54*100</f>
        <v>31.824582292225202</v>
      </c>
    </row>
    <row r="55" spans="1:12" ht="30.75">
      <c r="A55" s="17"/>
      <c r="B55" s="24" t="s">
        <v>62</v>
      </c>
      <c r="C55" s="21"/>
      <c r="D55" s="35">
        <v>3600</v>
      </c>
      <c r="E55" s="35">
        <v>3600</v>
      </c>
      <c r="F55" s="35">
        <f t="shared" si="9"/>
        <v>2024.1138390000001</v>
      </c>
      <c r="G55" s="35">
        <f>1416879686/1000000</f>
        <v>1416.879686</v>
      </c>
      <c r="H55" s="35">
        <f>607234153/1000000</f>
        <v>607.23415299999999</v>
      </c>
      <c r="I55" s="44"/>
      <c r="J55" s="35"/>
      <c r="K55" s="40">
        <f>F55/D55*100</f>
        <v>56.225384416666671</v>
      </c>
      <c r="L55" s="35">
        <f>F55/E55*100</f>
        <v>56.225384416666671</v>
      </c>
    </row>
    <row r="56" spans="1:12" ht="30.75">
      <c r="A56" s="10"/>
      <c r="B56" s="24" t="s">
        <v>63</v>
      </c>
      <c r="C56" s="21">
        <v>3327500000</v>
      </c>
      <c r="D56" s="35">
        <v>3860</v>
      </c>
      <c r="E56" s="35">
        <v>3860</v>
      </c>
      <c r="F56" s="35">
        <f t="shared" si="9"/>
        <v>350</v>
      </c>
      <c r="G56" s="35"/>
      <c r="H56" s="35">
        <f>350000000/1000000</f>
        <v>350</v>
      </c>
      <c r="I56" s="44"/>
      <c r="J56" s="35"/>
      <c r="K56" s="40"/>
      <c r="L56" s="35"/>
    </row>
    <row r="57" spans="1:12" ht="30">
      <c r="A57" s="7">
        <v>20</v>
      </c>
      <c r="B57" s="12" t="s">
        <v>64</v>
      </c>
      <c r="C57" s="23"/>
      <c r="D57" s="35"/>
      <c r="E57" s="35"/>
      <c r="F57" s="35">
        <f t="shared" si="9"/>
        <v>0</v>
      </c>
      <c r="G57" s="35"/>
      <c r="H57" s="35"/>
      <c r="I57" s="35"/>
      <c r="J57" s="35"/>
      <c r="K57" s="40"/>
      <c r="L57" s="35"/>
    </row>
    <row r="58" spans="1:12">
      <c r="A58" s="7">
        <v>21</v>
      </c>
      <c r="B58" s="12" t="s">
        <v>65</v>
      </c>
      <c r="C58" s="23"/>
      <c r="D58" s="35"/>
      <c r="E58" s="35"/>
      <c r="F58" s="35">
        <f t="shared" si="9"/>
        <v>0</v>
      </c>
      <c r="G58" s="35"/>
      <c r="H58" s="35"/>
      <c r="I58" s="35"/>
      <c r="J58" s="35"/>
      <c r="K58" s="40"/>
      <c r="L58" s="35"/>
    </row>
    <row r="59" spans="1:12" ht="30">
      <c r="A59" s="7">
        <v>22</v>
      </c>
      <c r="B59" s="12" t="s">
        <v>66</v>
      </c>
      <c r="C59" s="23"/>
      <c r="D59" s="35"/>
      <c r="E59" s="35"/>
      <c r="F59" s="35">
        <f t="shared" si="9"/>
        <v>0</v>
      </c>
      <c r="G59" s="35"/>
      <c r="H59" s="35"/>
      <c r="I59" s="35"/>
      <c r="J59" s="35"/>
      <c r="K59" s="40"/>
      <c r="L59" s="35"/>
    </row>
    <row r="60" spans="1:12" hidden="1">
      <c r="A60" s="7" t="s">
        <v>67</v>
      </c>
      <c r="B60" s="12" t="s">
        <v>68</v>
      </c>
      <c r="C60" s="23">
        <f>+C61+C68+C69+C70</f>
        <v>0</v>
      </c>
      <c r="D60" s="39"/>
      <c r="E60" s="39"/>
      <c r="F60" s="35">
        <f t="shared" si="9"/>
        <v>0</v>
      </c>
      <c r="G60" s="39"/>
      <c r="H60" s="39"/>
      <c r="I60" s="39"/>
      <c r="J60" s="39"/>
      <c r="K60" s="40"/>
      <c r="L60" s="35"/>
    </row>
    <row r="61" spans="1:12" ht="30" hidden="1">
      <c r="A61" s="8">
        <v>1</v>
      </c>
      <c r="B61" s="26" t="s">
        <v>69</v>
      </c>
      <c r="C61" s="27"/>
      <c r="D61" s="35"/>
      <c r="E61" s="35"/>
      <c r="F61" s="35">
        <f t="shared" si="9"/>
        <v>0</v>
      </c>
      <c r="G61" s="35"/>
      <c r="H61" s="35"/>
      <c r="I61" s="35"/>
      <c r="J61" s="35"/>
      <c r="K61" s="40"/>
      <c r="L61" s="35"/>
    </row>
    <row r="62" spans="1:12" hidden="1">
      <c r="A62" s="10" t="s">
        <v>70</v>
      </c>
      <c r="B62" s="17" t="s">
        <v>33</v>
      </c>
      <c r="C62" s="18"/>
      <c r="D62" s="35"/>
      <c r="E62" s="35"/>
      <c r="F62" s="35">
        <f t="shared" si="9"/>
        <v>0</v>
      </c>
      <c r="G62" s="35"/>
      <c r="H62" s="35"/>
      <c r="I62" s="35"/>
      <c r="J62" s="35"/>
      <c r="K62" s="40"/>
      <c r="L62" s="35"/>
    </row>
    <row r="63" spans="1:12" hidden="1">
      <c r="A63" s="10" t="s">
        <v>71</v>
      </c>
      <c r="B63" s="17" t="s">
        <v>31</v>
      </c>
      <c r="C63" s="18"/>
      <c r="D63" s="35"/>
      <c r="E63" s="35"/>
      <c r="F63" s="35">
        <f t="shared" si="9"/>
        <v>0</v>
      </c>
      <c r="G63" s="35"/>
      <c r="H63" s="35"/>
      <c r="I63" s="35"/>
      <c r="J63" s="35"/>
      <c r="K63" s="40"/>
      <c r="L63" s="35"/>
    </row>
    <row r="64" spans="1:12" ht="30.75" hidden="1">
      <c r="A64" s="10" t="s">
        <v>72</v>
      </c>
      <c r="B64" s="17" t="s">
        <v>73</v>
      </c>
      <c r="C64" s="18"/>
      <c r="D64" s="35"/>
      <c r="E64" s="35"/>
      <c r="F64" s="35">
        <f t="shared" si="9"/>
        <v>0</v>
      </c>
      <c r="G64" s="35"/>
      <c r="H64" s="35"/>
      <c r="I64" s="35"/>
      <c r="J64" s="35"/>
      <c r="K64" s="40"/>
      <c r="L64" s="35"/>
    </row>
    <row r="65" spans="1:12" ht="30.75" hidden="1">
      <c r="A65" s="10" t="s">
        <v>74</v>
      </c>
      <c r="B65" s="17" t="s">
        <v>75</v>
      </c>
      <c r="C65" s="18"/>
      <c r="D65" s="35"/>
      <c r="E65" s="35"/>
      <c r="F65" s="35">
        <f t="shared" si="9"/>
        <v>0</v>
      </c>
      <c r="G65" s="35"/>
      <c r="H65" s="35"/>
      <c r="I65" s="35"/>
      <c r="J65" s="35"/>
      <c r="K65" s="40"/>
      <c r="L65" s="35"/>
    </row>
    <row r="66" spans="1:12" hidden="1">
      <c r="A66" s="10" t="s">
        <v>76</v>
      </c>
      <c r="B66" s="17" t="s">
        <v>77</v>
      </c>
      <c r="C66" s="18"/>
      <c r="D66" s="35"/>
      <c r="E66" s="35"/>
      <c r="F66" s="35">
        <f t="shared" si="9"/>
        <v>0</v>
      </c>
      <c r="G66" s="35"/>
      <c r="H66" s="35"/>
      <c r="I66" s="35"/>
      <c r="J66" s="35"/>
      <c r="K66" s="40"/>
      <c r="L66" s="35"/>
    </row>
    <row r="67" spans="1:12" hidden="1">
      <c r="A67" s="10" t="s">
        <v>78</v>
      </c>
      <c r="B67" s="17" t="s">
        <v>79</v>
      </c>
      <c r="C67" s="18"/>
      <c r="D67" s="35"/>
      <c r="E67" s="35"/>
      <c r="F67" s="35">
        <f t="shared" si="9"/>
        <v>0</v>
      </c>
      <c r="G67" s="35"/>
      <c r="H67" s="35"/>
      <c r="I67" s="35"/>
      <c r="J67" s="35"/>
      <c r="K67" s="40"/>
      <c r="L67" s="35"/>
    </row>
    <row r="68" spans="1:12" ht="30" hidden="1">
      <c r="A68" s="8">
        <v>2</v>
      </c>
      <c r="B68" s="26" t="s">
        <v>80</v>
      </c>
      <c r="C68" s="27"/>
      <c r="D68" s="35"/>
      <c r="E68" s="35"/>
      <c r="F68" s="35">
        <f t="shared" si="9"/>
        <v>0</v>
      </c>
      <c r="G68" s="35"/>
      <c r="H68" s="35"/>
      <c r="I68" s="35"/>
      <c r="J68" s="35"/>
      <c r="K68" s="40"/>
      <c r="L68" s="35"/>
    </row>
    <row r="69" spans="1:12" hidden="1">
      <c r="A69" s="8">
        <v>3</v>
      </c>
      <c r="B69" s="26" t="s">
        <v>81</v>
      </c>
      <c r="C69" s="27"/>
      <c r="D69" s="35"/>
      <c r="E69" s="35"/>
      <c r="F69" s="35">
        <f t="shared" si="9"/>
        <v>0</v>
      </c>
      <c r="G69" s="35"/>
      <c r="H69" s="35"/>
      <c r="I69" s="35"/>
      <c r="J69" s="35"/>
      <c r="K69" s="40"/>
      <c r="L69" s="35"/>
    </row>
    <row r="70" spans="1:12" ht="45" hidden="1">
      <c r="A70" s="8">
        <v>4</v>
      </c>
      <c r="B70" s="26" t="s">
        <v>82</v>
      </c>
      <c r="C70" s="27"/>
      <c r="D70" s="35"/>
      <c r="E70" s="35"/>
      <c r="F70" s="35">
        <f t="shared" si="9"/>
        <v>0</v>
      </c>
      <c r="G70" s="35"/>
      <c r="H70" s="35"/>
      <c r="I70" s="35"/>
      <c r="J70" s="35"/>
      <c r="K70" s="40"/>
      <c r="L70" s="35"/>
    </row>
    <row r="71" spans="1:12" hidden="1">
      <c r="A71" s="7" t="s">
        <v>83</v>
      </c>
      <c r="B71" s="12" t="s">
        <v>84</v>
      </c>
      <c r="C71" s="23">
        <f>SUM(C72:C80)</f>
        <v>0</v>
      </c>
      <c r="D71" s="39"/>
      <c r="E71" s="39"/>
      <c r="F71" s="35">
        <f t="shared" si="9"/>
        <v>0</v>
      </c>
      <c r="G71" s="39"/>
      <c r="H71" s="39"/>
      <c r="I71" s="39"/>
      <c r="J71" s="39"/>
      <c r="K71" s="40"/>
      <c r="L71" s="35"/>
    </row>
    <row r="72" spans="1:12" hidden="1">
      <c r="A72" s="10">
        <v>1</v>
      </c>
      <c r="B72" s="17" t="s">
        <v>85</v>
      </c>
      <c r="C72" s="18"/>
      <c r="D72" s="35"/>
      <c r="E72" s="35"/>
      <c r="F72" s="35">
        <f t="shared" si="9"/>
        <v>0</v>
      </c>
      <c r="G72" s="35"/>
      <c r="H72" s="35"/>
      <c r="I72" s="35"/>
      <c r="J72" s="35"/>
      <c r="K72" s="40"/>
      <c r="L72" s="35"/>
    </row>
    <row r="73" spans="1:12" hidden="1">
      <c r="A73" s="10">
        <v>2</v>
      </c>
      <c r="B73" s="17" t="s">
        <v>86</v>
      </c>
      <c r="C73" s="18"/>
      <c r="D73" s="35"/>
      <c r="E73" s="35"/>
      <c r="F73" s="35">
        <f t="shared" si="9"/>
        <v>0</v>
      </c>
      <c r="G73" s="35"/>
      <c r="H73" s="35"/>
      <c r="I73" s="35"/>
      <c r="J73" s="35"/>
      <c r="K73" s="40"/>
      <c r="L73" s="35"/>
    </row>
    <row r="74" spans="1:12" hidden="1">
      <c r="A74" s="10">
        <v>3</v>
      </c>
      <c r="B74" s="17" t="s">
        <v>87</v>
      </c>
      <c r="C74" s="18"/>
      <c r="D74" s="35"/>
      <c r="E74" s="35"/>
      <c r="F74" s="35">
        <f t="shared" si="9"/>
        <v>0</v>
      </c>
      <c r="G74" s="35"/>
      <c r="H74" s="35"/>
      <c r="I74" s="35"/>
      <c r="J74" s="35"/>
      <c r="K74" s="40"/>
      <c r="L74" s="35"/>
    </row>
    <row r="75" spans="1:12" hidden="1">
      <c r="A75" s="10">
        <v>4</v>
      </c>
      <c r="B75" s="17" t="s">
        <v>88</v>
      </c>
      <c r="C75" s="18"/>
      <c r="D75" s="35"/>
      <c r="E75" s="35"/>
      <c r="F75" s="35">
        <f t="shared" si="9"/>
        <v>0</v>
      </c>
      <c r="G75" s="35"/>
      <c r="H75" s="35"/>
      <c r="I75" s="35"/>
      <c r="J75" s="35"/>
      <c r="K75" s="40"/>
      <c r="L75" s="35"/>
    </row>
    <row r="76" spans="1:12" ht="30.75" hidden="1">
      <c r="A76" s="10">
        <v>5</v>
      </c>
      <c r="B76" s="17" t="s">
        <v>89</v>
      </c>
      <c r="C76" s="18"/>
      <c r="D76" s="35"/>
      <c r="E76" s="35"/>
      <c r="F76" s="35">
        <f t="shared" si="9"/>
        <v>0</v>
      </c>
      <c r="G76" s="35"/>
      <c r="H76" s="35"/>
      <c r="I76" s="35"/>
      <c r="J76" s="35"/>
      <c r="K76" s="40"/>
      <c r="L76" s="35"/>
    </row>
    <row r="77" spans="1:12" ht="30.75" hidden="1">
      <c r="A77" s="10">
        <v>6</v>
      </c>
      <c r="B77" s="17" t="s">
        <v>90</v>
      </c>
      <c r="C77" s="18"/>
      <c r="D77" s="35"/>
      <c r="E77" s="35"/>
      <c r="F77" s="35">
        <f t="shared" si="9"/>
        <v>0</v>
      </c>
      <c r="G77" s="35"/>
      <c r="H77" s="35"/>
      <c r="I77" s="35"/>
      <c r="J77" s="35"/>
      <c r="K77" s="40"/>
      <c r="L77" s="35"/>
    </row>
    <row r="78" spans="1:12" ht="30.75" hidden="1">
      <c r="A78" s="10">
        <v>7</v>
      </c>
      <c r="B78" s="17" t="s">
        <v>91</v>
      </c>
      <c r="C78" s="18"/>
      <c r="D78" s="35"/>
      <c r="E78" s="35"/>
      <c r="F78" s="35">
        <f t="shared" si="9"/>
        <v>0</v>
      </c>
      <c r="G78" s="35"/>
      <c r="H78" s="35"/>
      <c r="I78" s="35"/>
      <c r="J78" s="35"/>
      <c r="K78" s="40"/>
      <c r="L78" s="35"/>
    </row>
    <row r="79" spans="1:12" hidden="1">
      <c r="A79" s="10">
        <v>8</v>
      </c>
      <c r="B79" s="17" t="s">
        <v>92</v>
      </c>
      <c r="C79" s="18"/>
      <c r="D79" s="35"/>
      <c r="E79" s="35"/>
      <c r="F79" s="35">
        <f t="shared" si="9"/>
        <v>0</v>
      </c>
      <c r="G79" s="35"/>
      <c r="H79" s="35"/>
      <c r="I79" s="35"/>
      <c r="J79" s="35"/>
      <c r="K79" s="40"/>
      <c r="L79" s="35"/>
    </row>
    <row r="80" spans="1:12" hidden="1">
      <c r="A80" s="10">
        <v>9</v>
      </c>
      <c r="B80" s="17" t="s">
        <v>79</v>
      </c>
      <c r="C80" s="18"/>
      <c r="D80" s="35"/>
      <c r="E80" s="35"/>
      <c r="F80" s="35">
        <f t="shared" si="9"/>
        <v>0</v>
      </c>
      <c r="G80" s="35"/>
      <c r="H80" s="35"/>
      <c r="I80" s="35"/>
      <c r="J80" s="35"/>
      <c r="K80" s="40"/>
      <c r="L80" s="35"/>
    </row>
    <row r="81" spans="1:12">
      <c r="A81" s="7" t="s">
        <v>67</v>
      </c>
      <c r="B81" s="12" t="s">
        <v>93</v>
      </c>
      <c r="C81" s="23"/>
      <c r="D81" s="35"/>
      <c r="E81" s="35"/>
      <c r="F81" s="35">
        <f t="shared" si="9"/>
        <v>0</v>
      </c>
      <c r="G81" s="35"/>
      <c r="H81" s="35"/>
      <c r="I81" s="35"/>
      <c r="J81" s="35"/>
      <c r="K81" s="40"/>
      <c r="L81" s="35"/>
    </row>
    <row r="82" spans="1:12">
      <c r="A82" s="7" t="s">
        <v>83</v>
      </c>
      <c r="B82" s="26" t="s">
        <v>94</v>
      </c>
      <c r="C82" s="27">
        <f>SUM(C83:C84)</f>
        <v>1186100000</v>
      </c>
      <c r="D82" s="45"/>
      <c r="E82" s="45"/>
      <c r="F82" s="35">
        <f t="shared" si="9"/>
        <v>0</v>
      </c>
      <c r="G82" s="45"/>
      <c r="H82" s="45"/>
      <c r="I82" s="45"/>
      <c r="J82" s="45"/>
      <c r="K82" s="40"/>
      <c r="L82" s="35"/>
    </row>
    <row r="83" spans="1:12" ht="30.75">
      <c r="A83" s="10">
        <v>1</v>
      </c>
      <c r="B83" s="17" t="s">
        <v>95</v>
      </c>
      <c r="C83" s="18">
        <v>769200000</v>
      </c>
      <c r="D83" s="35"/>
      <c r="E83" s="35"/>
      <c r="F83" s="35">
        <f t="shared" si="9"/>
        <v>0</v>
      </c>
      <c r="G83" s="35"/>
      <c r="H83" s="35"/>
      <c r="I83" s="35"/>
      <c r="J83" s="35"/>
      <c r="K83" s="40"/>
      <c r="L83" s="35"/>
    </row>
    <row r="84" spans="1:12" ht="30.75">
      <c r="A84" s="10">
        <v>2</v>
      </c>
      <c r="B84" s="17" t="s">
        <v>96</v>
      </c>
      <c r="C84" s="18">
        <v>416900000</v>
      </c>
      <c r="D84" s="35"/>
      <c r="E84" s="35"/>
      <c r="F84" s="35">
        <f t="shared" si="9"/>
        <v>0</v>
      </c>
      <c r="G84" s="35"/>
      <c r="H84" s="35"/>
      <c r="I84" s="35"/>
      <c r="J84" s="35"/>
      <c r="K84" s="40"/>
      <c r="L84" s="35"/>
    </row>
    <row r="85" spans="1:12" ht="30" hidden="1">
      <c r="A85" s="7" t="s">
        <v>97</v>
      </c>
      <c r="B85" s="12" t="s">
        <v>98</v>
      </c>
      <c r="C85" s="23">
        <f>SUM(C86:C87)</f>
        <v>0</v>
      </c>
      <c r="D85" s="39"/>
      <c r="E85" s="39"/>
      <c r="F85" s="35">
        <f t="shared" si="9"/>
        <v>0</v>
      </c>
      <c r="G85" s="39"/>
      <c r="H85" s="39"/>
      <c r="I85" s="39"/>
      <c r="J85" s="39"/>
      <c r="K85" s="40"/>
      <c r="L85" s="35"/>
    </row>
    <row r="86" spans="1:12" ht="30" hidden="1">
      <c r="A86" s="8">
        <v>1</v>
      </c>
      <c r="B86" s="26" t="s">
        <v>99</v>
      </c>
      <c r="C86" s="27"/>
      <c r="D86" s="35"/>
      <c r="E86" s="35"/>
      <c r="F86" s="35">
        <f t="shared" si="9"/>
        <v>0</v>
      </c>
      <c r="G86" s="35"/>
      <c r="H86" s="35"/>
      <c r="I86" s="35"/>
      <c r="J86" s="35"/>
      <c r="K86" s="40"/>
      <c r="L86" s="35"/>
    </row>
    <row r="87" spans="1:12" ht="30" hidden="1">
      <c r="A87" s="8">
        <v>2</v>
      </c>
      <c r="B87" s="26" t="s">
        <v>100</v>
      </c>
      <c r="C87" s="27"/>
      <c r="D87" s="35"/>
      <c r="E87" s="35"/>
      <c r="F87" s="35">
        <f t="shared" si="9"/>
        <v>0</v>
      </c>
      <c r="G87" s="35"/>
      <c r="H87" s="35"/>
      <c r="I87" s="35"/>
      <c r="J87" s="35"/>
      <c r="K87" s="40"/>
      <c r="L87" s="35"/>
    </row>
    <row r="88" spans="1:12" hidden="1">
      <c r="A88" s="10" t="s">
        <v>101</v>
      </c>
      <c r="B88" s="17" t="s">
        <v>102</v>
      </c>
      <c r="C88" s="18"/>
      <c r="D88" s="35"/>
      <c r="E88" s="35"/>
      <c r="F88" s="35">
        <f t="shared" si="9"/>
        <v>0</v>
      </c>
      <c r="G88" s="35"/>
      <c r="H88" s="35"/>
      <c r="I88" s="35"/>
      <c r="J88" s="35"/>
      <c r="K88" s="40"/>
      <c r="L88" s="35"/>
    </row>
    <row r="89" spans="1:12" hidden="1">
      <c r="A89" s="10" t="s">
        <v>103</v>
      </c>
      <c r="B89" s="17" t="s">
        <v>104</v>
      </c>
      <c r="C89" s="18"/>
      <c r="D89" s="35"/>
      <c r="E89" s="35"/>
      <c r="F89" s="35">
        <f t="shared" si="9"/>
        <v>0</v>
      </c>
      <c r="G89" s="35"/>
      <c r="H89" s="35"/>
      <c r="I89" s="35"/>
      <c r="J89" s="35"/>
      <c r="K89" s="40"/>
      <c r="L89" s="35"/>
    </row>
    <row r="90" spans="1:12" hidden="1">
      <c r="A90" s="8">
        <v>3</v>
      </c>
      <c r="B90" s="26" t="s">
        <v>105</v>
      </c>
      <c r="C90" s="27"/>
      <c r="D90" s="35"/>
      <c r="E90" s="35"/>
      <c r="F90" s="35">
        <f t="shared" si="9"/>
        <v>0</v>
      </c>
      <c r="G90" s="35"/>
      <c r="H90" s="35"/>
      <c r="I90" s="35"/>
      <c r="J90" s="35"/>
      <c r="K90" s="40"/>
      <c r="L90" s="35"/>
    </row>
    <row r="91" spans="1:12" ht="30" hidden="1">
      <c r="A91" s="7" t="s">
        <v>13</v>
      </c>
      <c r="B91" s="12" t="s">
        <v>106</v>
      </c>
      <c r="C91" s="23">
        <f>+C92+C95</f>
        <v>0</v>
      </c>
      <c r="D91" s="39"/>
      <c r="E91" s="39"/>
      <c r="F91" s="35">
        <f t="shared" si="9"/>
        <v>0</v>
      </c>
      <c r="G91" s="39"/>
      <c r="H91" s="39"/>
      <c r="I91" s="39"/>
      <c r="J91" s="39"/>
      <c r="K91" s="40"/>
      <c r="L91" s="35"/>
    </row>
    <row r="92" spans="1:12" hidden="1">
      <c r="A92" s="7" t="s">
        <v>20</v>
      </c>
      <c r="B92" s="12" t="s">
        <v>107</v>
      </c>
      <c r="C92" s="23">
        <f>SUM(C93:C94)</f>
        <v>0</v>
      </c>
      <c r="D92" s="39"/>
      <c r="E92" s="39"/>
      <c r="F92" s="35">
        <f t="shared" si="9"/>
        <v>0</v>
      </c>
      <c r="G92" s="39"/>
      <c r="H92" s="39"/>
      <c r="I92" s="39"/>
      <c r="J92" s="39"/>
      <c r="K92" s="40"/>
      <c r="L92" s="35"/>
    </row>
    <row r="93" spans="1:12" hidden="1">
      <c r="A93" s="10">
        <v>1</v>
      </c>
      <c r="B93" s="17" t="s">
        <v>108</v>
      </c>
      <c r="C93" s="18"/>
      <c r="D93" s="35"/>
      <c r="E93" s="35"/>
      <c r="F93" s="35">
        <f t="shared" si="9"/>
        <v>0</v>
      </c>
      <c r="G93" s="35"/>
      <c r="H93" s="35"/>
      <c r="I93" s="35"/>
      <c r="J93" s="35"/>
      <c r="K93" s="40"/>
      <c r="L93" s="35"/>
    </row>
    <row r="94" spans="1:12" ht="30.75" hidden="1">
      <c r="A94" s="10">
        <v>2</v>
      </c>
      <c r="B94" s="17" t="s">
        <v>109</v>
      </c>
      <c r="C94" s="18"/>
      <c r="D94" s="35"/>
      <c r="E94" s="35"/>
      <c r="F94" s="35">
        <f t="shared" si="9"/>
        <v>0</v>
      </c>
      <c r="G94" s="35"/>
      <c r="H94" s="35"/>
      <c r="I94" s="35"/>
      <c r="J94" s="35"/>
      <c r="K94" s="40"/>
      <c r="L94" s="35"/>
    </row>
    <row r="95" spans="1:12" hidden="1">
      <c r="A95" s="7" t="s">
        <v>67</v>
      </c>
      <c r="B95" s="12" t="s">
        <v>110</v>
      </c>
      <c r="C95" s="23">
        <f>SUM(C96:C97)</f>
        <v>0</v>
      </c>
      <c r="D95" s="39"/>
      <c r="E95" s="39"/>
      <c r="F95" s="35">
        <f t="shared" si="9"/>
        <v>0</v>
      </c>
      <c r="G95" s="39"/>
      <c r="H95" s="39"/>
      <c r="I95" s="39"/>
      <c r="J95" s="39"/>
      <c r="K95" s="40"/>
      <c r="L95" s="35"/>
    </row>
    <row r="96" spans="1:12" hidden="1">
      <c r="A96" s="10">
        <v>1</v>
      </c>
      <c r="B96" s="17" t="s">
        <v>108</v>
      </c>
      <c r="C96" s="18"/>
      <c r="D96" s="35"/>
      <c r="E96" s="35"/>
      <c r="F96" s="35">
        <f t="shared" si="9"/>
        <v>0</v>
      </c>
      <c r="G96" s="35"/>
      <c r="H96" s="35"/>
      <c r="I96" s="35"/>
      <c r="J96" s="35"/>
      <c r="K96" s="40"/>
      <c r="L96" s="35"/>
    </row>
    <row r="97" spans="1:12" ht="30.75" hidden="1">
      <c r="A97" s="10">
        <v>2</v>
      </c>
      <c r="B97" s="17" t="s">
        <v>109</v>
      </c>
      <c r="C97" s="18"/>
      <c r="D97" s="35"/>
      <c r="E97" s="35"/>
      <c r="F97" s="35">
        <f t="shared" si="9"/>
        <v>0</v>
      </c>
      <c r="G97" s="35"/>
      <c r="H97" s="35"/>
      <c r="I97" s="35"/>
      <c r="J97" s="35"/>
      <c r="K97" s="40"/>
      <c r="L97" s="35"/>
    </row>
    <row r="98" spans="1:12" s="15" customFormat="1" ht="30">
      <c r="A98" s="7" t="s">
        <v>13</v>
      </c>
      <c r="B98" s="12" t="s">
        <v>111</v>
      </c>
      <c r="C98" s="23">
        <f t="shared" ref="C98:J98" si="11">+C99+C104</f>
        <v>254388040000</v>
      </c>
      <c r="D98" s="39">
        <f t="shared" si="11"/>
        <v>293370</v>
      </c>
      <c r="E98" s="39">
        <f t="shared" si="11"/>
        <v>293370</v>
      </c>
      <c r="F98" s="39">
        <f>+F99+F104</f>
        <v>314212.51759800001</v>
      </c>
      <c r="G98" s="39">
        <f t="shared" si="11"/>
        <v>0</v>
      </c>
      <c r="H98" s="39">
        <f t="shared" si="11"/>
        <v>0.58960000000000001</v>
      </c>
      <c r="I98" s="39">
        <f t="shared" si="11"/>
        <v>282959.64</v>
      </c>
      <c r="J98" s="39">
        <f t="shared" si="11"/>
        <v>31252.287998</v>
      </c>
      <c r="K98" s="37">
        <f>+F98/D98*100</f>
        <v>107.10451566213315</v>
      </c>
      <c r="L98" s="36">
        <f>+F98/E98*100</f>
        <v>107.10451566213315</v>
      </c>
    </row>
    <row r="99" spans="1:12" s="15" customFormat="1" ht="15">
      <c r="A99" s="7" t="s">
        <v>20</v>
      </c>
      <c r="B99" s="12" t="s">
        <v>112</v>
      </c>
      <c r="C99" s="14">
        <f>SUM(C100:C101)</f>
        <v>252648340000</v>
      </c>
      <c r="D99" s="36">
        <f>+D100+D101</f>
        <v>293370</v>
      </c>
      <c r="E99" s="36">
        <f>E100+E101</f>
        <v>293370</v>
      </c>
      <c r="F99" s="36">
        <f>+F100+F101</f>
        <v>314211.927998</v>
      </c>
      <c r="G99" s="36">
        <f>+G100+G101</f>
        <v>0</v>
      </c>
      <c r="H99" s="36">
        <f>+H100+H101</f>
        <v>0</v>
      </c>
      <c r="I99" s="36">
        <f>+I100+I101</f>
        <v>282959.64</v>
      </c>
      <c r="J99" s="36">
        <f>+J100+J101</f>
        <v>31252.287998</v>
      </c>
      <c r="K99" s="37">
        <f>+F99/D99*100</f>
        <v>107.10431468725501</v>
      </c>
      <c r="L99" s="36">
        <f>+F99/E99*100</f>
        <v>107.10431468725501</v>
      </c>
    </row>
    <row r="100" spans="1:12" s="15" customFormat="1" ht="15">
      <c r="A100" s="7" t="s">
        <v>113</v>
      </c>
      <c r="B100" s="12" t="s">
        <v>114</v>
      </c>
      <c r="C100" s="23">
        <v>174419630000</v>
      </c>
      <c r="D100" s="36">
        <v>283513</v>
      </c>
      <c r="E100" s="36">
        <v>283513</v>
      </c>
      <c r="F100" s="36">
        <f>SUM(G100:J100)</f>
        <v>108164.82799799999</v>
      </c>
      <c r="G100" s="36"/>
      <c r="H100" s="36"/>
      <c r="I100" s="36">
        <f>79383640000/1000000</f>
        <v>79383.64</v>
      </c>
      <c r="J100" s="46">
        <f>28781187998/1000000</f>
        <v>28781.187998000001</v>
      </c>
      <c r="K100" s="37">
        <f>+F100/D100*100</f>
        <v>38.151629025124066</v>
      </c>
      <c r="L100" s="36">
        <f>+F100/E100*100</f>
        <v>38.151629025124066</v>
      </c>
    </row>
    <row r="101" spans="1:12" s="15" customFormat="1" ht="15">
      <c r="A101" s="7" t="s">
        <v>115</v>
      </c>
      <c r="B101" s="12" t="s">
        <v>116</v>
      </c>
      <c r="C101" s="14">
        <f>+C102+C103</f>
        <v>78228710000</v>
      </c>
      <c r="D101" s="36">
        <f>D102+D103</f>
        <v>9857</v>
      </c>
      <c r="E101" s="36">
        <f>E102+E103</f>
        <v>9857</v>
      </c>
      <c r="F101" s="36">
        <f>SUM(G101:J101)</f>
        <v>206047.1</v>
      </c>
      <c r="G101" s="36">
        <f>G102+G103</f>
        <v>0</v>
      </c>
      <c r="H101" s="36">
        <f>H102+H103</f>
        <v>0</v>
      </c>
      <c r="I101" s="36">
        <f>I102+I103</f>
        <v>203576</v>
      </c>
      <c r="J101" s="46">
        <f>J102</f>
        <v>2471.1</v>
      </c>
      <c r="K101" s="37">
        <f>+F101/D101*100</f>
        <v>2090.3631936694737</v>
      </c>
      <c r="L101" s="36">
        <f>+F101/E101*100</f>
        <v>2090.3631936694737</v>
      </c>
    </row>
    <row r="102" spans="1:12" s="22" customFormat="1" ht="30.75">
      <c r="A102" s="19" t="s">
        <v>101</v>
      </c>
      <c r="B102" s="24" t="s">
        <v>117</v>
      </c>
      <c r="C102" s="21">
        <v>78228710000</v>
      </c>
      <c r="D102" s="42">
        <v>9857</v>
      </c>
      <c r="E102" s="42">
        <v>9857</v>
      </c>
      <c r="F102" s="42">
        <f>SUM(G102:J102)</f>
        <v>206047.1</v>
      </c>
      <c r="G102" s="42"/>
      <c r="H102" s="42"/>
      <c r="I102" s="42">
        <f>203576000000/1000000</f>
        <v>203576</v>
      </c>
      <c r="J102" s="47">
        <f>2471100000/1000000</f>
        <v>2471.1</v>
      </c>
      <c r="K102" s="43">
        <f>+F102/D102*100</f>
        <v>2090.3631936694737</v>
      </c>
      <c r="L102" s="42">
        <f>+F102/E102*100</f>
        <v>2090.3631936694737</v>
      </c>
    </row>
    <row r="103" spans="1:12" ht="30.75">
      <c r="A103" s="19" t="s">
        <v>103</v>
      </c>
      <c r="B103" s="24" t="s">
        <v>118</v>
      </c>
      <c r="C103" s="21"/>
      <c r="D103" s="35"/>
      <c r="E103" s="35"/>
      <c r="F103" s="35">
        <f>+G103+H103+I103+J103</f>
        <v>0</v>
      </c>
      <c r="G103" s="35"/>
      <c r="H103" s="35"/>
      <c r="I103" s="35"/>
      <c r="J103" s="35"/>
      <c r="K103" s="40"/>
      <c r="L103" s="35"/>
    </row>
    <row r="104" spans="1:12" s="15" customFormat="1" ht="16.5" customHeight="1">
      <c r="A104" s="7" t="s">
        <v>67</v>
      </c>
      <c r="B104" s="12" t="s">
        <v>119</v>
      </c>
      <c r="C104" s="23">
        <v>1739700000</v>
      </c>
      <c r="D104" s="36"/>
      <c r="E104" s="36"/>
      <c r="F104" s="108">
        <f>+G104+H104+I104+J104</f>
        <v>0.58960000000000001</v>
      </c>
      <c r="G104" s="36"/>
      <c r="H104" s="36">
        <f>589600/1000000</f>
        <v>0.58960000000000001</v>
      </c>
      <c r="I104" s="36"/>
      <c r="J104" s="36">
        <v>0</v>
      </c>
      <c r="K104" s="37"/>
      <c r="L104" s="36"/>
    </row>
    <row r="105" spans="1:12" s="15" customFormat="1" ht="16.5" customHeight="1">
      <c r="A105" s="7" t="s">
        <v>120</v>
      </c>
      <c r="B105" s="12" t="s">
        <v>121</v>
      </c>
      <c r="C105" s="23">
        <v>17725610000</v>
      </c>
      <c r="D105" s="36"/>
      <c r="E105" s="36"/>
      <c r="F105" s="36">
        <f>+G105+H105+I105+J105</f>
        <v>134562.70705299999</v>
      </c>
      <c r="G105" s="36"/>
      <c r="H105" s="36"/>
      <c r="I105" s="36">
        <f>124508564511/1000000</f>
        <v>124508.564511</v>
      </c>
      <c r="J105" s="36">
        <f>10054142542/1000000</f>
        <v>10054.142542</v>
      </c>
      <c r="K105" s="37"/>
      <c r="L105" s="36"/>
    </row>
    <row r="106" spans="1:12" s="15" customFormat="1" ht="16.5" customHeight="1">
      <c r="A106" s="7" t="s">
        <v>122</v>
      </c>
      <c r="B106" s="12" t="s">
        <v>123</v>
      </c>
      <c r="C106" s="23">
        <v>79030000</v>
      </c>
      <c r="D106" s="36"/>
      <c r="E106" s="36"/>
      <c r="F106" s="36">
        <f>+G106+H106+I106+J106</f>
        <v>0</v>
      </c>
      <c r="G106" s="36"/>
      <c r="H106" s="36"/>
      <c r="I106" s="36"/>
      <c r="J106" s="36"/>
      <c r="K106" s="37"/>
      <c r="L106" s="36"/>
    </row>
    <row r="107" spans="1:12" ht="21" customHeight="1"/>
  </sheetData>
  <mergeCells count="12">
    <mergeCell ref="A1:B1"/>
    <mergeCell ref="A3:L3"/>
    <mergeCell ref="K1:L1"/>
    <mergeCell ref="J5:L5"/>
    <mergeCell ref="A6:A7"/>
    <mergeCell ref="B6:B7"/>
    <mergeCell ref="C6:C7"/>
    <mergeCell ref="D6:E6"/>
    <mergeCell ref="F6:F7"/>
    <mergeCell ref="G6:J6"/>
    <mergeCell ref="K6:L6"/>
    <mergeCell ref="B4:L4"/>
  </mergeCells>
  <pageMargins left="0.36" right="0.19" top="0.42" bottom="0.48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8626-4FE2-4565-91F7-AB8E5FE2369C}">
  <dimension ref="A1:R41"/>
  <sheetViews>
    <sheetView workbookViewId="0">
      <selection activeCell="A4" sqref="A4:N4"/>
    </sheetView>
  </sheetViews>
  <sheetFormatPr defaultRowHeight="15.4"/>
  <cols>
    <col min="1" max="1" width="5.1328125" style="28" customWidth="1"/>
    <col min="2" max="2" width="39.86328125" style="28" customWidth="1"/>
    <col min="3" max="5" width="13.33203125" style="28" customWidth="1"/>
    <col min="6" max="6" width="11.59765625" style="28" customWidth="1"/>
    <col min="7" max="8" width="13.33203125" style="28" customWidth="1"/>
    <col min="9" max="11" width="12.73046875" style="28" customWidth="1"/>
    <col min="12" max="14" width="8.33203125" style="28" customWidth="1"/>
    <col min="15" max="15" width="9.06640625" style="28"/>
    <col min="16" max="16" width="9.6640625" style="28" bestFit="1" customWidth="1"/>
    <col min="17" max="17" width="10.73046875" style="28" bestFit="1" customWidth="1"/>
    <col min="18" max="18" width="13.796875" style="28" customWidth="1"/>
    <col min="19" max="255" width="9.06640625" style="28"/>
    <col min="256" max="256" width="5.1328125" style="28" customWidth="1"/>
    <col min="257" max="257" width="42.796875" style="28" customWidth="1"/>
    <col min="258" max="258" width="17.796875" style="28" customWidth="1"/>
    <col min="259" max="259" width="17.19921875" style="28" customWidth="1"/>
    <col min="260" max="260" width="17.796875" style="28" customWidth="1"/>
    <col min="261" max="261" width="17.1328125" style="28" customWidth="1"/>
    <col min="262" max="262" width="16" style="28" customWidth="1"/>
    <col min="263" max="263" width="8.86328125" style="28" customWidth="1"/>
    <col min="264" max="264" width="11.46484375" style="28" customWidth="1"/>
    <col min="265" max="511" width="9.06640625" style="28"/>
    <col min="512" max="512" width="5.1328125" style="28" customWidth="1"/>
    <col min="513" max="513" width="42.796875" style="28" customWidth="1"/>
    <col min="514" max="514" width="17.796875" style="28" customWidth="1"/>
    <col min="515" max="515" width="17.19921875" style="28" customWidth="1"/>
    <col min="516" max="516" width="17.796875" style="28" customWidth="1"/>
    <col min="517" max="517" width="17.1328125" style="28" customWidth="1"/>
    <col min="518" max="518" width="16" style="28" customWidth="1"/>
    <col min="519" max="519" width="8.86328125" style="28" customWidth="1"/>
    <col min="520" max="520" width="11.46484375" style="28" customWidth="1"/>
    <col min="521" max="767" width="9.06640625" style="28"/>
    <col min="768" max="768" width="5.1328125" style="28" customWidth="1"/>
    <col min="769" max="769" width="42.796875" style="28" customWidth="1"/>
    <col min="770" max="770" width="17.796875" style="28" customWidth="1"/>
    <col min="771" max="771" width="17.19921875" style="28" customWidth="1"/>
    <col min="772" max="772" width="17.796875" style="28" customWidth="1"/>
    <col min="773" max="773" width="17.1328125" style="28" customWidth="1"/>
    <col min="774" max="774" width="16" style="28" customWidth="1"/>
    <col min="775" max="775" width="8.86328125" style="28" customWidth="1"/>
    <col min="776" max="776" width="11.46484375" style="28" customWidth="1"/>
    <col min="777" max="1023" width="9.06640625" style="28"/>
    <col min="1024" max="1024" width="5.1328125" style="28" customWidth="1"/>
    <col min="1025" max="1025" width="42.796875" style="28" customWidth="1"/>
    <col min="1026" max="1026" width="17.796875" style="28" customWidth="1"/>
    <col min="1027" max="1027" width="17.19921875" style="28" customWidth="1"/>
    <col min="1028" max="1028" width="17.796875" style="28" customWidth="1"/>
    <col min="1029" max="1029" width="17.1328125" style="28" customWidth="1"/>
    <col min="1030" max="1030" width="16" style="28" customWidth="1"/>
    <col min="1031" max="1031" width="8.86328125" style="28" customWidth="1"/>
    <col min="1032" max="1032" width="11.46484375" style="28" customWidth="1"/>
    <col min="1033" max="1279" width="9.06640625" style="28"/>
    <col min="1280" max="1280" width="5.1328125" style="28" customWidth="1"/>
    <col min="1281" max="1281" width="42.796875" style="28" customWidth="1"/>
    <col min="1282" max="1282" width="17.796875" style="28" customWidth="1"/>
    <col min="1283" max="1283" width="17.19921875" style="28" customWidth="1"/>
    <col min="1284" max="1284" width="17.796875" style="28" customWidth="1"/>
    <col min="1285" max="1285" width="17.1328125" style="28" customWidth="1"/>
    <col min="1286" max="1286" width="16" style="28" customWidth="1"/>
    <col min="1287" max="1287" width="8.86328125" style="28" customWidth="1"/>
    <col min="1288" max="1288" width="11.46484375" style="28" customWidth="1"/>
    <col min="1289" max="1535" width="9.06640625" style="28"/>
    <col min="1536" max="1536" width="5.1328125" style="28" customWidth="1"/>
    <col min="1537" max="1537" width="42.796875" style="28" customWidth="1"/>
    <col min="1538" max="1538" width="17.796875" style="28" customWidth="1"/>
    <col min="1539" max="1539" width="17.19921875" style="28" customWidth="1"/>
    <col min="1540" max="1540" width="17.796875" style="28" customWidth="1"/>
    <col min="1541" max="1541" width="17.1328125" style="28" customWidth="1"/>
    <col min="1542" max="1542" width="16" style="28" customWidth="1"/>
    <col min="1543" max="1543" width="8.86328125" style="28" customWidth="1"/>
    <col min="1544" max="1544" width="11.46484375" style="28" customWidth="1"/>
    <col min="1545" max="1791" width="9.06640625" style="28"/>
    <col min="1792" max="1792" width="5.1328125" style="28" customWidth="1"/>
    <col min="1793" max="1793" width="42.796875" style="28" customWidth="1"/>
    <col min="1794" max="1794" width="17.796875" style="28" customWidth="1"/>
    <col min="1795" max="1795" width="17.19921875" style="28" customWidth="1"/>
    <col min="1796" max="1796" width="17.796875" style="28" customWidth="1"/>
    <col min="1797" max="1797" width="17.1328125" style="28" customWidth="1"/>
    <col min="1798" max="1798" width="16" style="28" customWidth="1"/>
    <col min="1799" max="1799" width="8.86328125" style="28" customWidth="1"/>
    <col min="1800" max="1800" width="11.46484375" style="28" customWidth="1"/>
    <col min="1801" max="2047" width="9.06640625" style="28"/>
    <col min="2048" max="2048" width="5.1328125" style="28" customWidth="1"/>
    <col min="2049" max="2049" width="42.796875" style="28" customWidth="1"/>
    <col min="2050" max="2050" width="17.796875" style="28" customWidth="1"/>
    <col min="2051" max="2051" width="17.19921875" style="28" customWidth="1"/>
    <col min="2052" max="2052" width="17.796875" style="28" customWidth="1"/>
    <col min="2053" max="2053" width="17.1328125" style="28" customWidth="1"/>
    <col min="2054" max="2054" width="16" style="28" customWidth="1"/>
    <col min="2055" max="2055" width="8.86328125" style="28" customWidth="1"/>
    <col min="2056" max="2056" width="11.46484375" style="28" customWidth="1"/>
    <col min="2057" max="2303" width="9.06640625" style="28"/>
    <col min="2304" max="2304" width="5.1328125" style="28" customWidth="1"/>
    <col min="2305" max="2305" width="42.796875" style="28" customWidth="1"/>
    <col min="2306" max="2306" width="17.796875" style="28" customWidth="1"/>
    <col min="2307" max="2307" width="17.19921875" style="28" customWidth="1"/>
    <col min="2308" max="2308" width="17.796875" style="28" customWidth="1"/>
    <col min="2309" max="2309" width="17.1328125" style="28" customWidth="1"/>
    <col min="2310" max="2310" width="16" style="28" customWidth="1"/>
    <col min="2311" max="2311" width="8.86328125" style="28" customWidth="1"/>
    <col min="2312" max="2312" width="11.46484375" style="28" customWidth="1"/>
    <col min="2313" max="2559" width="9.06640625" style="28"/>
    <col min="2560" max="2560" width="5.1328125" style="28" customWidth="1"/>
    <col min="2561" max="2561" width="42.796875" style="28" customWidth="1"/>
    <col min="2562" max="2562" width="17.796875" style="28" customWidth="1"/>
    <col min="2563" max="2563" width="17.19921875" style="28" customWidth="1"/>
    <col min="2564" max="2564" width="17.796875" style="28" customWidth="1"/>
    <col min="2565" max="2565" width="17.1328125" style="28" customWidth="1"/>
    <col min="2566" max="2566" width="16" style="28" customWidth="1"/>
    <col min="2567" max="2567" width="8.86328125" style="28" customWidth="1"/>
    <col min="2568" max="2568" width="11.46484375" style="28" customWidth="1"/>
    <col min="2569" max="2815" width="9.06640625" style="28"/>
    <col min="2816" max="2816" width="5.1328125" style="28" customWidth="1"/>
    <col min="2817" max="2817" width="42.796875" style="28" customWidth="1"/>
    <col min="2818" max="2818" width="17.796875" style="28" customWidth="1"/>
    <col min="2819" max="2819" width="17.19921875" style="28" customWidth="1"/>
    <col min="2820" max="2820" width="17.796875" style="28" customWidth="1"/>
    <col min="2821" max="2821" width="17.1328125" style="28" customWidth="1"/>
    <col min="2822" max="2822" width="16" style="28" customWidth="1"/>
    <col min="2823" max="2823" width="8.86328125" style="28" customWidth="1"/>
    <col min="2824" max="2824" width="11.46484375" style="28" customWidth="1"/>
    <col min="2825" max="3071" width="9.06640625" style="28"/>
    <col min="3072" max="3072" width="5.1328125" style="28" customWidth="1"/>
    <col min="3073" max="3073" width="42.796875" style="28" customWidth="1"/>
    <col min="3074" max="3074" width="17.796875" style="28" customWidth="1"/>
    <col min="3075" max="3075" width="17.19921875" style="28" customWidth="1"/>
    <col min="3076" max="3076" width="17.796875" style="28" customWidth="1"/>
    <col min="3077" max="3077" width="17.1328125" style="28" customWidth="1"/>
    <col min="3078" max="3078" width="16" style="28" customWidth="1"/>
    <col min="3079" max="3079" width="8.86328125" style="28" customWidth="1"/>
    <col min="3080" max="3080" width="11.46484375" style="28" customWidth="1"/>
    <col min="3081" max="3327" width="9.06640625" style="28"/>
    <col min="3328" max="3328" width="5.1328125" style="28" customWidth="1"/>
    <col min="3329" max="3329" width="42.796875" style="28" customWidth="1"/>
    <col min="3330" max="3330" width="17.796875" style="28" customWidth="1"/>
    <col min="3331" max="3331" width="17.19921875" style="28" customWidth="1"/>
    <col min="3332" max="3332" width="17.796875" style="28" customWidth="1"/>
    <col min="3333" max="3333" width="17.1328125" style="28" customWidth="1"/>
    <col min="3334" max="3334" width="16" style="28" customWidth="1"/>
    <col min="3335" max="3335" width="8.86328125" style="28" customWidth="1"/>
    <col min="3336" max="3336" width="11.46484375" style="28" customWidth="1"/>
    <col min="3337" max="3583" width="9.06640625" style="28"/>
    <col min="3584" max="3584" width="5.1328125" style="28" customWidth="1"/>
    <col min="3585" max="3585" width="42.796875" style="28" customWidth="1"/>
    <col min="3586" max="3586" width="17.796875" style="28" customWidth="1"/>
    <col min="3587" max="3587" width="17.19921875" style="28" customWidth="1"/>
    <col min="3588" max="3588" width="17.796875" style="28" customWidth="1"/>
    <col min="3589" max="3589" width="17.1328125" style="28" customWidth="1"/>
    <col min="3590" max="3590" width="16" style="28" customWidth="1"/>
    <col min="3591" max="3591" width="8.86328125" style="28" customWidth="1"/>
    <col min="3592" max="3592" width="11.46484375" style="28" customWidth="1"/>
    <col min="3593" max="3839" width="9.06640625" style="28"/>
    <col min="3840" max="3840" width="5.1328125" style="28" customWidth="1"/>
    <col min="3841" max="3841" width="42.796875" style="28" customWidth="1"/>
    <col min="3842" max="3842" width="17.796875" style="28" customWidth="1"/>
    <col min="3843" max="3843" width="17.19921875" style="28" customWidth="1"/>
    <col min="3844" max="3844" width="17.796875" style="28" customWidth="1"/>
    <col min="3845" max="3845" width="17.1328125" style="28" customWidth="1"/>
    <col min="3846" max="3846" width="16" style="28" customWidth="1"/>
    <col min="3847" max="3847" width="8.86328125" style="28" customWidth="1"/>
    <col min="3848" max="3848" width="11.46484375" style="28" customWidth="1"/>
    <col min="3849" max="4095" width="9.06640625" style="28"/>
    <col min="4096" max="4096" width="5.1328125" style="28" customWidth="1"/>
    <col min="4097" max="4097" width="42.796875" style="28" customWidth="1"/>
    <col min="4098" max="4098" width="17.796875" style="28" customWidth="1"/>
    <col min="4099" max="4099" width="17.19921875" style="28" customWidth="1"/>
    <col min="4100" max="4100" width="17.796875" style="28" customWidth="1"/>
    <col min="4101" max="4101" width="17.1328125" style="28" customWidth="1"/>
    <col min="4102" max="4102" width="16" style="28" customWidth="1"/>
    <col min="4103" max="4103" width="8.86328125" style="28" customWidth="1"/>
    <col min="4104" max="4104" width="11.46484375" style="28" customWidth="1"/>
    <col min="4105" max="4351" width="9.06640625" style="28"/>
    <col min="4352" max="4352" width="5.1328125" style="28" customWidth="1"/>
    <col min="4353" max="4353" width="42.796875" style="28" customWidth="1"/>
    <col min="4354" max="4354" width="17.796875" style="28" customWidth="1"/>
    <col min="4355" max="4355" width="17.19921875" style="28" customWidth="1"/>
    <col min="4356" max="4356" width="17.796875" style="28" customWidth="1"/>
    <col min="4357" max="4357" width="17.1328125" style="28" customWidth="1"/>
    <col min="4358" max="4358" width="16" style="28" customWidth="1"/>
    <col min="4359" max="4359" width="8.86328125" style="28" customWidth="1"/>
    <col min="4360" max="4360" width="11.46484375" style="28" customWidth="1"/>
    <col min="4361" max="4607" width="9.06640625" style="28"/>
    <col min="4608" max="4608" width="5.1328125" style="28" customWidth="1"/>
    <col min="4609" max="4609" width="42.796875" style="28" customWidth="1"/>
    <col min="4610" max="4610" width="17.796875" style="28" customWidth="1"/>
    <col min="4611" max="4611" width="17.19921875" style="28" customWidth="1"/>
    <col min="4612" max="4612" width="17.796875" style="28" customWidth="1"/>
    <col min="4613" max="4613" width="17.1328125" style="28" customWidth="1"/>
    <col min="4614" max="4614" width="16" style="28" customWidth="1"/>
    <col min="4615" max="4615" width="8.86328125" style="28" customWidth="1"/>
    <col min="4616" max="4616" width="11.46484375" style="28" customWidth="1"/>
    <col min="4617" max="4863" width="9.06640625" style="28"/>
    <col min="4864" max="4864" width="5.1328125" style="28" customWidth="1"/>
    <col min="4865" max="4865" width="42.796875" style="28" customWidth="1"/>
    <col min="4866" max="4866" width="17.796875" style="28" customWidth="1"/>
    <col min="4867" max="4867" width="17.19921875" style="28" customWidth="1"/>
    <col min="4868" max="4868" width="17.796875" style="28" customWidth="1"/>
    <col min="4869" max="4869" width="17.1328125" style="28" customWidth="1"/>
    <col min="4870" max="4870" width="16" style="28" customWidth="1"/>
    <col min="4871" max="4871" width="8.86328125" style="28" customWidth="1"/>
    <col min="4872" max="4872" width="11.46484375" style="28" customWidth="1"/>
    <col min="4873" max="5119" width="9.06640625" style="28"/>
    <col min="5120" max="5120" width="5.1328125" style="28" customWidth="1"/>
    <col min="5121" max="5121" width="42.796875" style="28" customWidth="1"/>
    <col min="5122" max="5122" width="17.796875" style="28" customWidth="1"/>
    <col min="5123" max="5123" width="17.19921875" style="28" customWidth="1"/>
    <col min="5124" max="5124" width="17.796875" style="28" customWidth="1"/>
    <col min="5125" max="5125" width="17.1328125" style="28" customWidth="1"/>
    <col min="5126" max="5126" width="16" style="28" customWidth="1"/>
    <col min="5127" max="5127" width="8.86328125" style="28" customWidth="1"/>
    <col min="5128" max="5128" width="11.46484375" style="28" customWidth="1"/>
    <col min="5129" max="5375" width="9.06640625" style="28"/>
    <col min="5376" max="5376" width="5.1328125" style="28" customWidth="1"/>
    <col min="5377" max="5377" width="42.796875" style="28" customWidth="1"/>
    <col min="5378" max="5378" width="17.796875" style="28" customWidth="1"/>
    <col min="5379" max="5379" width="17.19921875" style="28" customWidth="1"/>
    <col min="5380" max="5380" width="17.796875" style="28" customWidth="1"/>
    <col min="5381" max="5381" width="17.1328125" style="28" customWidth="1"/>
    <col min="5382" max="5382" width="16" style="28" customWidth="1"/>
    <col min="5383" max="5383" width="8.86328125" style="28" customWidth="1"/>
    <col min="5384" max="5384" width="11.46484375" style="28" customWidth="1"/>
    <col min="5385" max="5631" width="9.06640625" style="28"/>
    <col min="5632" max="5632" width="5.1328125" style="28" customWidth="1"/>
    <col min="5633" max="5633" width="42.796875" style="28" customWidth="1"/>
    <col min="5634" max="5634" width="17.796875" style="28" customWidth="1"/>
    <col min="5635" max="5635" width="17.19921875" style="28" customWidth="1"/>
    <col min="5636" max="5636" width="17.796875" style="28" customWidth="1"/>
    <col min="5637" max="5637" width="17.1328125" style="28" customWidth="1"/>
    <col min="5638" max="5638" width="16" style="28" customWidth="1"/>
    <col min="5639" max="5639" width="8.86328125" style="28" customWidth="1"/>
    <col min="5640" max="5640" width="11.46484375" style="28" customWidth="1"/>
    <col min="5641" max="5887" width="9.06640625" style="28"/>
    <col min="5888" max="5888" width="5.1328125" style="28" customWidth="1"/>
    <col min="5889" max="5889" width="42.796875" style="28" customWidth="1"/>
    <col min="5890" max="5890" width="17.796875" style="28" customWidth="1"/>
    <col min="5891" max="5891" width="17.19921875" style="28" customWidth="1"/>
    <col min="5892" max="5892" width="17.796875" style="28" customWidth="1"/>
    <col min="5893" max="5893" width="17.1328125" style="28" customWidth="1"/>
    <col min="5894" max="5894" width="16" style="28" customWidth="1"/>
    <col min="5895" max="5895" width="8.86328125" style="28" customWidth="1"/>
    <col min="5896" max="5896" width="11.46484375" style="28" customWidth="1"/>
    <col min="5897" max="6143" width="9.06640625" style="28"/>
    <col min="6144" max="6144" width="5.1328125" style="28" customWidth="1"/>
    <col min="6145" max="6145" width="42.796875" style="28" customWidth="1"/>
    <col min="6146" max="6146" width="17.796875" style="28" customWidth="1"/>
    <col min="6147" max="6147" width="17.19921875" style="28" customWidth="1"/>
    <col min="6148" max="6148" width="17.796875" style="28" customWidth="1"/>
    <col min="6149" max="6149" width="17.1328125" style="28" customWidth="1"/>
    <col min="6150" max="6150" width="16" style="28" customWidth="1"/>
    <col min="6151" max="6151" width="8.86328125" style="28" customWidth="1"/>
    <col min="6152" max="6152" width="11.46484375" style="28" customWidth="1"/>
    <col min="6153" max="6399" width="9.06640625" style="28"/>
    <col min="6400" max="6400" width="5.1328125" style="28" customWidth="1"/>
    <col min="6401" max="6401" width="42.796875" style="28" customWidth="1"/>
    <col min="6402" max="6402" width="17.796875" style="28" customWidth="1"/>
    <col min="6403" max="6403" width="17.19921875" style="28" customWidth="1"/>
    <col min="6404" max="6404" width="17.796875" style="28" customWidth="1"/>
    <col min="6405" max="6405" width="17.1328125" style="28" customWidth="1"/>
    <col min="6406" max="6406" width="16" style="28" customWidth="1"/>
    <col min="6407" max="6407" width="8.86328125" style="28" customWidth="1"/>
    <col min="6408" max="6408" width="11.46484375" style="28" customWidth="1"/>
    <col min="6409" max="6655" width="9.06640625" style="28"/>
    <col min="6656" max="6656" width="5.1328125" style="28" customWidth="1"/>
    <col min="6657" max="6657" width="42.796875" style="28" customWidth="1"/>
    <col min="6658" max="6658" width="17.796875" style="28" customWidth="1"/>
    <col min="6659" max="6659" width="17.19921875" style="28" customWidth="1"/>
    <col min="6660" max="6660" width="17.796875" style="28" customWidth="1"/>
    <col min="6661" max="6661" width="17.1328125" style="28" customWidth="1"/>
    <col min="6662" max="6662" width="16" style="28" customWidth="1"/>
    <col min="6663" max="6663" width="8.86328125" style="28" customWidth="1"/>
    <col min="6664" max="6664" width="11.46484375" style="28" customWidth="1"/>
    <col min="6665" max="6911" width="9.06640625" style="28"/>
    <col min="6912" max="6912" width="5.1328125" style="28" customWidth="1"/>
    <col min="6913" max="6913" width="42.796875" style="28" customWidth="1"/>
    <col min="6914" max="6914" width="17.796875" style="28" customWidth="1"/>
    <col min="6915" max="6915" width="17.19921875" style="28" customWidth="1"/>
    <col min="6916" max="6916" width="17.796875" style="28" customWidth="1"/>
    <col min="6917" max="6917" width="17.1328125" style="28" customWidth="1"/>
    <col min="6918" max="6918" width="16" style="28" customWidth="1"/>
    <col min="6919" max="6919" width="8.86328125" style="28" customWidth="1"/>
    <col min="6920" max="6920" width="11.46484375" style="28" customWidth="1"/>
    <col min="6921" max="7167" width="9.06640625" style="28"/>
    <col min="7168" max="7168" width="5.1328125" style="28" customWidth="1"/>
    <col min="7169" max="7169" width="42.796875" style="28" customWidth="1"/>
    <col min="7170" max="7170" width="17.796875" style="28" customWidth="1"/>
    <col min="7171" max="7171" width="17.19921875" style="28" customWidth="1"/>
    <col min="7172" max="7172" width="17.796875" style="28" customWidth="1"/>
    <col min="7173" max="7173" width="17.1328125" style="28" customWidth="1"/>
    <col min="7174" max="7174" width="16" style="28" customWidth="1"/>
    <col min="7175" max="7175" width="8.86328125" style="28" customWidth="1"/>
    <col min="7176" max="7176" width="11.46484375" style="28" customWidth="1"/>
    <col min="7177" max="7423" width="9.06640625" style="28"/>
    <col min="7424" max="7424" width="5.1328125" style="28" customWidth="1"/>
    <col min="7425" max="7425" width="42.796875" style="28" customWidth="1"/>
    <col min="7426" max="7426" width="17.796875" style="28" customWidth="1"/>
    <col min="7427" max="7427" width="17.19921875" style="28" customWidth="1"/>
    <col min="7428" max="7428" width="17.796875" style="28" customWidth="1"/>
    <col min="7429" max="7429" width="17.1328125" style="28" customWidth="1"/>
    <col min="7430" max="7430" width="16" style="28" customWidth="1"/>
    <col min="7431" max="7431" width="8.86328125" style="28" customWidth="1"/>
    <col min="7432" max="7432" width="11.46484375" style="28" customWidth="1"/>
    <col min="7433" max="7679" width="9.06640625" style="28"/>
    <col min="7680" max="7680" width="5.1328125" style="28" customWidth="1"/>
    <col min="7681" max="7681" width="42.796875" style="28" customWidth="1"/>
    <col min="7682" max="7682" width="17.796875" style="28" customWidth="1"/>
    <col min="7683" max="7683" width="17.19921875" style="28" customWidth="1"/>
    <col min="7684" max="7684" width="17.796875" style="28" customWidth="1"/>
    <col min="7685" max="7685" width="17.1328125" style="28" customWidth="1"/>
    <col min="7686" max="7686" width="16" style="28" customWidth="1"/>
    <col min="7687" max="7687" width="8.86328125" style="28" customWidth="1"/>
    <col min="7688" max="7688" width="11.46484375" style="28" customWidth="1"/>
    <col min="7689" max="7935" width="9.06640625" style="28"/>
    <col min="7936" max="7936" width="5.1328125" style="28" customWidth="1"/>
    <col min="7937" max="7937" width="42.796875" style="28" customWidth="1"/>
    <col min="7938" max="7938" width="17.796875" style="28" customWidth="1"/>
    <col min="7939" max="7939" width="17.19921875" style="28" customWidth="1"/>
    <col min="7940" max="7940" width="17.796875" style="28" customWidth="1"/>
    <col min="7941" max="7941" width="17.1328125" style="28" customWidth="1"/>
    <col min="7942" max="7942" width="16" style="28" customWidth="1"/>
    <col min="7943" max="7943" width="8.86328125" style="28" customWidth="1"/>
    <col min="7944" max="7944" width="11.46484375" style="28" customWidth="1"/>
    <col min="7945" max="8191" width="9.06640625" style="28"/>
    <col min="8192" max="8192" width="5.1328125" style="28" customWidth="1"/>
    <col min="8193" max="8193" width="42.796875" style="28" customWidth="1"/>
    <col min="8194" max="8194" width="17.796875" style="28" customWidth="1"/>
    <col min="8195" max="8195" width="17.19921875" style="28" customWidth="1"/>
    <col min="8196" max="8196" width="17.796875" style="28" customWidth="1"/>
    <col min="8197" max="8197" width="17.1328125" style="28" customWidth="1"/>
    <col min="8198" max="8198" width="16" style="28" customWidth="1"/>
    <col min="8199" max="8199" width="8.86328125" style="28" customWidth="1"/>
    <col min="8200" max="8200" width="11.46484375" style="28" customWidth="1"/>
    <col min="8201" max="8447" width="9.06640625" style="28"/>
    <col min="8448" max="8448" width="5.1328125" style="28" customWidth="1"/>
    <col min="8449" max="8449" width="42.796875" style="28" customWidth="1"/>
    <col min="8450" max="8450" width="17.796875" style="28" customWidth="1"/>
    <col min="8451" max="8451" width="17.19921875" style="28" customWidth="1"/>
    <col min="8452" max="8452" width="17.796875" style="28" customWidth="1"/>
    <col min="8453" max="8453" width="17.1328125" style="28" customWidth="1"/>
    <col min="8454" max="8454" width="16" style="28" customWidth="1"/>
    <col min="8455" max="8455" width="8.86328125" style="28" customWidth="1"/>
    <col min="8456" max="8456" width="11.46484375" style="28" customWidth="1"/>
    <col min="8457" max="8703" width="9.06640625" style="28"/>
    <col min="8704" max="8704" width="5.1328125" style="28" customWidth="1"/>
    <col min="8705" max="8705" width="42.796875" style="28" customWidth="1"/>
    <col min="8706" max="8706" width="17.796875" style="28" customWidth="1"/>
    <col min="8707" max="8707" width="17.19921875" style="28" customWidth="1"/>
    <col min="8708" max="8708" width="17.796875" style="28" customWidth="1"/>
    <col min="8709" max="8709" width="17.1328125" style="28" customWidth="1"/>
    <col min="8710" max="8710" width="16" style="28" customWidth="1"/>
    <col min="8711" max="8711" width="8.86328125" style="28" customWidth="1"/>
    <col min="8712" max="8712" width="11.46484375" style="28" customWidth="1"/>
    <col min="8713" max="8959" width="9.06640625" style="28"/>
    <col min="8960" max="8960" width="5.1328125" style="28" customWidth="1"/>
    <col min="8961" max="8961" width="42.796875" style="28" customWidth="1"/>
    <col min="8962" max="8962" width="17.796875" style="28" customWidth="1"/>
    <col min="8963" max="8963" width="17.19921875" style="28" customWidth="1"/>
    <col min="8964" max="8964" width="17.796875" style="28" customWidth="1"/>
    <col min="8965" max="8965" width="17.1328125" style="28" customWidth="1"/>
    <col min="8966" max="8966" width="16" style="28" customWidth="1"/>
    <col min="8967" max="8967" width="8.86328125" style="28" customWidth="1"/>
    <col min="8968" max="8968" width="11.46484375" style="28" customWidth="1"/>
    <col min="8969" max="9215" width="9.06640625" style="28"/>
    <col min="9216" max="9216" width="5.1328125" style="28" customWidth="1"/>
    <col min="9217" max="9217" width="42.796875" style="28" customWidth="1"/>
    <col min="9218" max="9218" width="17.796875" style="28" customWidth="1"/>
    <col min="9219" max="9219" width="17.19921875" style="28" customWidth="1"/>
    <col min="9220" max="9220" width="17.796875" style="28" customWidth="1"/>
    <col min="9221" max="9221" width="17.1328125" style="28" customWidth="1"/>
    <col min="9222" max="9222" width="16" style="28" customWidth="1"/>
    <col min="9223" max="9223" width="8.86328125" style="28" customWidth="1"/>
    <col min="9224" max="9224" width="11.46484375" style="28" customWidth="1"/>
    <col min="9225" max="9471" width="9.06640625" style="28"/>
    <col min="9472" max="9472" width="5.1328125" style="28" customWidth="1"/>
    <col min="9473" max="9473" width="42.796875" style="28" customWidth="1"/>
    <col min="9474" max="9474" width="17.796875" style="28" customWidth="1"/>
    <col min="9475" max="9475" width="17.19921875" style="28" customWidth="1"/>
    <col min="9476" max="9476" width="17.796875" style="28" customWidth="1"/>
    <col min="9477" max="9477" width="17.1328125" style="28" customWidth="1"/>
    <col min="9478" max="9478" width="16" style="28" customWidth="1"/>
    <col min="9479" max="9479" width="8.86328125" style="28" customWidth="1"/>
    <col min="9480" max="9480" width="11.46484375" style="28" customWidth="1"/>
    <col min="9481" max="9727" width="9.06640625" style="28"/>
    <col min="9728" max="9728" width="5.1328125" style="28" customWidth="1"/>
    <col min="9729" max="9729" width="42.796875" style="28" customWidth="1"/>
    <col min="9730" max="9730" width="17.796875" style="28" customWidth="1"/>
    <col min="9731" max="9731" width="17.19921875" style="28" customWidth="1"/>
    <col min="9732" max="9732" width="17.796875" style="28" customWidth="1"/>
    <col min="9733" max="9733" width="17.1328125" style="28" customWidth="1"/>
    <col min="9734" max="9734" width="16" style="28" customWidth="1"/>
    <col min="9735" max="9735" width="8.86328125" style="28" customWidth="1"/>
    <col min="9736" max="9736" width="11.46484375" style="28" customWidth="1"/>
    <col min="9737" max="9983" width="9.06640625" style="28"/>
    <col min="9984" max="9984" width="5.1328125" style="28" customWidth="1"/>
    <col min="9985" max="9985" width="42.796875" style="28" customWidth="1"/>
    <col min="9986" max="9986" width="17.796875" style="28" customWidth="1"/>
    <col min="9987" max="9987" width="17.19921875" style="28" customWidth="1"/>
    <col min="9988" max="9988" width="17.796875" style="28" customWidth="1"/>
    <col min="9989" max="9989" width="17.1328125" style="28" customWidth="1"/>
    <col min="9990" max="9990" width="16" style="28" customWidth="1"/>
    <col min="9991" max="9991" width="8.86328125" style="28" customWidth="1"/>
    <col min="9992" max="9992" width="11.46484375" style="28" customWidth="1"/>
    <col min="9993" max="10239" width="9.06640625" style="28"/>
    <col min="10240" max="10240" width="5.1328125" style="28" customWidth="1"/>
    <col min="10241" max="10241" width="42.796875" style="28" customWidth="1"/>
    <col min="10242" max="10242" width="17.796875" style="28" customWidth="1"/>
    <col min="10243" max="10243" width="17.19921875" style="28" customWidth="1"/>
    <col min="10244" max="10244" width="17.796875" style="28" customWidth="1"/>
    <col min="10245" max="10245" width="17.1328125" style="28" customWidth="1"/>
    <col min="10246" max="10246" width="16" style="28" customWidth="1"/>
    <col min="10247" max="10247" width="8.86328125" style="28" customWidth="1"/>
    <col min="10248" max="10248" width="11.46484375" style="28" customWidth="1"/>
    <col min="10249" max="10495" width="9.06640625" style="28"/>
    <col min="10496" max="10496" width="5.1328125" style="28" customWidth="1"/>
    <col min="10497" max="10497" width="42.796875" style="28" customWidth="1"/>
    <col min="10498" max="10498" width="17.796875" style="28" customWidth="1"/>
    <col min="10499" max="10499" width="17.19921875" style="28" customWidth="1"/>
    <col min="10500" max="10500" width="17.796875" style="28" customWidth="1"/>
    <col min="10501" max="10501" width="17.1328125" style="28" customWidth="1"/>
    <col min="10502" max="10502" width="16" style="28" customWidth="1"/>
    <col min="10503" max="10503" width="8.86328125" style="28" customWidth="1"/>
    <col min="10504" max="10504" width="11.46484375" style="28" customWidth="1"/>
    <col min="10505" max="10751" width="9.06640625" style="28"/>
    <col min="10752" max="10752" width="5.1328125" style="28" customWidth="1"/>
    <col min="10753" max="10753" width="42.796875" style="28" customWidth="1"/>
    <col min="10754" max="10754" width="17.796875" style="28" customWidth="1"/>
    <col min="10755" max="10755" width="17.19921875" style="28" customWidth="1"/>
    <col min="10756" max="10756" width="17.796875" style="28" customWidth="1"/>
    <col min="10757" max="10757" width="17.1328125" style="28" customWidth="1"/>
    <col min="10758" max="10758" width="16" style="28" customWidth="1"/>
    <col min="10759" max="10759" width="8.86328125" style="28" customWidth="1"/>
    <col min="10760" max="10760" width="11.46484375" style="28" customWidth="1"/>
    <col min="10761" max="11007" width="9.06640625" style="28"/>
    <col min="11008" max="11008" width="5.1328125" style="28" customWidth="1"/>
    <col min="11009" max="11009" width="42.796875" style="28" customWidth="1"/>
    <col min="11010" max="11010" width="17.796875" style="28" customWidth="1"/>
    <col min="11011" max="11011" width="17.19921875" style="28" customWidth="1"/>
    <col min="11012" max="11012" width="17.796875" style="28" customWidth="1"/>
    <col min="11013" max="11013" width="17.1328125" style="28" customWidth="1"/>
    <col min="11014" max="11014" width="16" style="28" customWidth="1"/>
    <col min="11015" max="11015" width="8.86328125" style="28" customWidth="1"/>
    <col min="11016" max="11016" width="11.46484375" style="28" customWidth="1"/>
    <col min="11017" max="11263" width="9.06640625" style="28"/>
    <col min="11264" max="11264" width="5.1328125" style="28" customWidth="1"/>
    <col min="11265" max="11265" width="42.796875" style="28" customWidth="1"/>
    <col min="11266" max="11266" width="17.796875" style="28" customWidth="1"/>
    <col min="11267" max="11267" width="17.19921875" style="28" customWidth="1"/>
    <col min="11268" max="11268" width="17.796875" style="28" customWidth="1"/>
    <col min="11269" max="11269" width="17.1328125" style="28" customWidth="1"/>
    <col min="11270" max="11270" width="16" style="28" customWidth="1"/>
    <col min="11271" max="11271" width="8.86328125" style="28" customWidth="1"/>
    <col min="11272" max="11272" width="11.46484375" style="28" customWidth="1"/>
    <col min="11273" max="11519" width="9.06640625" style="28"/>
    <col min="11520" max="11520" width="5.1328125" style="28" customWidth="1"/>
    <col min="11521" max="11521" width="42.796875" style="28" customWidth="1"/>
    <col min="11522" max="11522" width="17.796875" style="28" customWidth="1"/>
    <col min="11523" max="11523" width="17.19921875" style="28" customWidth="1"/>
    <col min="11524" max="11524" width="17.796875" style="28" customWidth="1"/>
    <col min="11525" max="11525" width="17.1328125" style="28" customWidth="1"/>
    <col min="11526" max="11526" width="16" style="28" customWidth="1"/>
    <col min="11527" max="11527" width="8.86328125" style="28" customWidth="1"/>
    <col min="11528" max="11528" width="11.46484375" style="28" customWidth="1"/>
    <col min="11529" max="11775" width="9.06640625" style="28"/>
    <col min="11776" max="11776" width="5.1328125" style="28" customWidth="1"/>
    <col min="11777" max="11777" width="42.796875" style="28" customWidth="1"/>
    <col min="11778" max="11778" width="17.796875" style="28" customWidth="1"/>
    <col min="11779" max="11779" width="17.19921875" style="28" customWidth="1"/>
    <col min="11780" max="11780" width="17.796875" style="28" customWidth="1"/>
    <col min="11781" max="11781" width="17.1328125" style="28" customWidth="1"/>
    <col min="11782" max="11782" width="16" style="28" customWidth="1"/>
    <col min="11783" max="11783" width="8.86328125" style="28" customWidth="1"/>
    <col min="11784" max="11784" width="11.46484375" style="28" customWidth="1"/>
    <col min="11785" max="12031" width="9.06640625" style="28"/>
    <col min="12032" max="12032" width="5.1328125" style="28" customWidth="1"/>
    <col min="12033" max="12033" width="42.796875" style="28" customWidth="1"/>
    <col min="12034" max="12034" width="17.796875" style="28" customWidth="1"/>
    <col min="12035" max="12035" width="17.19921875" style="28" customWidth="1"/>
    <col min="12036" max="12036" width="17.796875" style="28" customWidth="1"/>
    <col min="12037" max="12037" width="17.1328125" style="28" customWidth="1"/>
    <col min="12038" max="12038" width="16" style="28" customWidth="1"/>
    <col min="12039" max="12039" width="8.86328125" style="28" customWidth="1"/>
    <col min="12040" max="12040" width="11.46484375" style="28" customWidth="1"/>
    <col min="12041" max="12287" width="9.06640625" style="28"/>
    <col min="12288" max="12288" width="5.1328125" style="28" customWidth="1"/>
    <col min="12289" max="12289" width="42.796875" style="28" customWidth="1"/>
    <col min="12290" max="12290" width="17.796875" style="28" customWidth="1"/>
    <col min="12291" max="12291" width="17.19921875" style="28" customWidth="1"/>
    <col min="12292" max="12292" width="17.796875" style="28" customWidth="1"/>
    <col min="12293" max="12293" width="17.1328125" style="28" customWidth="1"/>
    <col min="12294" max="12294" width="16" style="28" customWidth="1"/>
    <col min="12295" max="12295" width="8.86328125" style="28" customWidth="1"/>
    <col min="12296" max="12296" width="11.46484375" style="28" customWidth="1"/>
    <col min="12297" max="12543" width="9.06640625" style="28"/>
    <col min="12544" max="12544" width="5.1328125" style="28" customWidth="1"/>
    <col min="12545" max="12545" width="42.796875" style="28" customWidth="1"/>
    <col min="12546" max="12546" width="17.796875" style="28" customWidth="1"/>
    <col min="12547" max="12547" width="17.19921875" style="28" customWidth="1"/>
    <col min="12548" max="12548" width="17.796875" style="28" customWidth="1"/>
    <col min="12549" max="12549" width="17.1328125" style="28" customWidth="1"/>
    <col min="12550" max="12550" width="16" style="28" customWidth="1"/>
    <col min="12551" max="12551" width="8.86328125" style="28" customWidth="1"/>
    <col min="12552" max="12552" width="11.46484375" style="28" customWidth="1"/>
    <col min="12553" max="12799" width="9.06640625" style="28"/>
    <col min="12800" max="12800" width="5.1328125" style="28" customWidth="1"/>
    <col min="12801" max="12801" width="42.796875" style="28" customWidth="1"/>
    <col min="12802" max="12802" width="17.796875" style="28" customWidth="1"/>
    <col min="12803" max="12803" width="17.19921875" style="28" customWidth="1"/>
    <col min="12804" max="12804" width="17.796875" style="28" customWidth="1"/>
    <col min="12805" max="12805" width="17.1328125" style="28" customWidth="1"/>
    <col min="12806" max="12806" width="16" style="28" customWidth="1"/>
    <col min="12807" max="12807" width="8.86328125" style="28" customWidth="1"/>
    <col min="12808" max="12808" width="11.46484375" style="28" customWidth="1"/>
    <col min="12809" max="13055" width="9.06640625" style="28"/>
    <col min="13056" max="13056" width="5.1328125" style="28" customWidth="1"/>
    <col min="13057" max="13057" width="42.796875" style="28" customWidth="1"/>
    <col min="13058" max="13058" width="17.796875" style="28" customWidth="1"/>
    <col min="13059" max="13059" width="17.19921875" style="28" customWidth="1"/>
    <col min="13060" max="13060" width="17.796875" style="28" customWidth="1"/>
    <col min="13061" max="13061" width="17.1328125" style="28" customWidth="1"/>
    <col min="13062" max="13062" width="16" style="28" customWidth="1"/>
    <col min="13063" max="13063" width="8.86328125" style="28" customWidth="1"/>
    <col min="13064" max="13064" width="11.46484375" style="28" customWidth="1"/>
    <col min="13065" max="13311" width="9.06640625" style="28"/>
    <col min="13312" max="13312" width="5.1328125" style="28" customWidth="1"/>
    <col min="13313" max="13313" width="42.796875" style="28" customWidth="1"/>
    <col min="13314" max="13314" width="17.796875" style="28" customWidth="1"/>
    <col min="13315" max="13315" width="17.19921875" style="28" customWidth="1"/>
    <col min="13316" max="13316" width="17.796875" style="28" customWidth="1"/>
    <col min="13317" max="13317" width="17.1328125" style="28" customWidth="1"/>
    <col min="13318" max="13318" width="16" style="28" customWidth="1"/>
    <col min="13319" max="13319" width="8.86328125" style="28" customWidth="1"/>
    <col min="13320" max="13320" width="11.46484375" style="28" customWidth="1"/>
    <col min="13321" max="13567" width="9.06640625" style="28"/>
    <col min="13568" max="13568" width="5.1328125" style="28" customWidth="1"/>
    <col min="13569" max="13569" width="42.796875" style="28" customWidth="1"/>
    <col min="13570" max="13570" width="17.796875" style="28" customWidth="1"/>
    <col min="13571" max="13571" width="17.19921875" style="28" customWidth="1"/>
    <col min="13572" max="13572" width="17.796875" style="28" customWidth="1"/>
    <col min="13573" max="13573" width="17.1328125" style="28" customWidth="1"/>
    <col min="13574" max="13574" width="16" style="28" customWidth="1"/>
    <col min="13575" max="13575" width="8.86328125" style="28" customWidth="1"/>
    <col min="13576" max="13576" width="11.46484375" style="28" customWidth="1"/>
    <col min="13577" max="13823" width="9.06640625" style="28"/>
    <col min="13824" max="13824" width="5.1328125" style="28" customWidth="1"/>
    <col min="13825" max="13825" width="42.796875" style="28" customWidth="1"/>
    <col min="13826" max="13826" width="17.796875" style="28" customWidth="1"/>
    <col min="13827" max="13827" width="17.19921875" style="28" customWidth="1"/>
    <col min="13828" max="13828" width="17.796875" style="28" customWidth="1"/>
    <col min="13829" max="13829" width="17.1328125" style="28" customWidth="1"/>
    <col min="13830" max="13830" width="16" style="28" customWidth="1"/>
    <col min="13831" max="13831" width="8.86328125" style="28" customWidth="1"/>
    <col min="13832" max="13832" width="11.46484375" style="28" customWidth="1"/>
    <col min="13833" max="14079" width="9.06640625" style="28"/>
    <col min="14080" max="14080" width="5.1328125" style="28" customWidth="1"/>
    <col min="14081" max="14081" width="42.796875" style="28" customWidth="1"/>
    <col min="14082" max="14082" width="17.796875" style="28" customWidth="1"/>
    <col min="14083" max="14083" width="17.19921875" style="28" customWidth="1"/>
    <col min="14084" max="14084" width="17.796875" style="28" customWidth="1"/>
    <col min="14085" max="14085" width="17.1328125" style="28" customWidth="1"/>
    <col min="14086" max="14086" width="16" style="28" customWidth="1"/>
    <col min="14087" max="14087" width="8.86328125" style="28" customWidth="1"/>
    <col min="14088" max="14088" width="11.46484375" style="28" customWidth="1"/>
    <col min="14089" max="14335" width="9.06640625" style="28"/>
    <col min="14336" max="14336" width="5.1328125" style="28" customWidth="1"/>
    <col min="14337" max="14337" width="42.796875" style="28" customWidth="1"/>
    <col min="14338" max="14338" width="17.796875" style="28" customWidth="1"/>
    <col min="14339" max="14339" width="17.19921875" style="28" customWidth="1"/>
    <col min="14340" max="14340" width="17.796875" style="28" customWidth="1"/>
    <col min="14341" max="14341" width="17.1328125" style="28" customWidth="1"/>
    <col min="14342" max="14342" width="16" style="28" customWidth="1"/>
    <col min="14343" max="14343" width="8.86328125" style="28" customWidth="1"/>
    <col min="14344" max="14344" width="11.46484375" style="28" customWidth="1"/>
    <col min="14345" max="14591" width="9.06640625" style="28"/>
    <col min="14592" max="14592" width="5.1328125" style="28" customWidth="1"/>
    <col min="14593" max="14593" width="42.796875" style="28" customWidth="1"/>
    <col min="14594" max="14594" width="17.796875" style="28" customWidth="1"/>
    <col min="14595" max="14595" width="17.19921875" style="28" customWidth="1"/>
    <col min="14596" max="14596" width="17.796875" style="28" customWidth="1"/>
    <col min="14597" max="14597" width="17.1328125" style="28" customWidth="1"/>
    <col min="14598" max="14598" width="16" style="28" customWidth="1"/>
    <col min="14599" max="14599" width="8.86328125" style="28" customWidth="1"/>
    <col min="14600" max="14600" width="11.46484375" style="28" customWidth="1"/>
    <col min="14601" max="14847" width="9.06640625" style="28"/>
    <col min="14848" max="14848" width="5.1328125" style="28" customWidth="1"/>
    <col min="14849" max="14849" width="42.796875" style="28" customWidth="1"/>
    <col min="14850" max="14850" width="17.796875" style="28" customWidth="1"/>
    <col min="14851" max="14851" width="17.19921875" style="28" customWidth="1"/>
    <col min="14852" max="14852" width="17.796875" style="28" customWidth="1"/>
    <col min="14853" max="14853" width="17.1328125" style="28" customWidth="1"/>
    <col min="14854" max="14854" width="16" style="28" customWidth="1"/>
    <col min="14855" max="14855" width="8.86328125" style="28" customWidth="1"/>
    <col min="14856" max="14856" width="11.46484375" style="28" customWidth="1"/>
    <col min="14857" max="15103" width="9.06640625" style="28"/>
    <col min="15104" max="15104" width="5.1328125" style="28" customWidth="1"/>
    <col min="15105" max="15105" width="42.796875" style="28" customWidth="1"/>
    <col min="15106" max="15106" width="17.796875" style="28" customWidth="1"/>
    <col min="15107" max="15107" width="17.19921875" style="28" customWidth="1"/>
    <col min="15108" max="15108" width="17.796875" style="28" customWidth="1"/>
    <col min="15109" max="15109" width="17.1328125" style="28" customWidth="1"/>
    <col min="15110" max="15110" width="16" style="28" customWidth="1"/>
    <col min="15111" max="15111" width="8.86328125" style="28" customWidth="1"/>
    <col min="15112" max="15112" width="11.46484375" style="28" customWidth="1"/>
    <col min="15113" max="15359" width="9.06640625" style="28"/>
    <col min="15360" max="15360" width="5.1328125" style="28" customWidth="1"/>
    <col min="15361" max="15361" width="42.796875" style="28" customWidth="1"/>
    <col min="15362" max="15362" width="17.796875" style="28" customWidth="1"/>
    <col min="15363" max="15363" width="17.19921875" style="28" customWidth="1"/>
    <col min="15364" max="15364" width="17.796875" style="28" customWidth="1"/>
    <col min="15365" max="15365" width="17.1328125" style="28" customWidth="1"/>
    <col min="15366" max="15366" width="16" style="28" customWidth="1"/>
    <col min="15367" max="15367" width="8.86328125" style="28" customWidth="1"/>
    <col min="15368" max="15368" width="11.46484375" style="28" customWidth="1"/>
    <col min="15369" max="15615" width="9.06640625" style="28"/>
    <col min="15616" max="15616" width="5.1328125" style="28" customWidth="1"/>
    <col min="15617" max="15617" width="42.796875" style="28" customWidth="1"/>
    <col min="15618" max="15618" width="17.796875" style="28" customWidth="1"/>
    <col min="15619" max="15619" width="17.19921875" style="28" customWidth="1"/>
    <col min="15620" max="15620" width="17.796875" style="28" customWidth="1"/>
    <col min="15621" max="15621" width="17.1328125" style="28" customWidth="1"/>
    <col min="15622" max="15622" width="16" style="28" customWidth="1"/>
    <col min="15623" max="15623" width="8.86328125" style="28" customWidth="1"/>
    <col min="15624" max="15624" width="11.46484375" style="28" customWidth="1"/>
    <col min="15625" max="15871" width="9.06640625" style="28"/>
    <col min="15872" max="15872" width="5.1328125" style="28" customWidth="1"/>
    <col min="15873" max="15873" width="42.796875" style="28" customWidth="1"/>
    <col min="15874" max="15874" width="17.796875" style="28" customWidth="1"/>
    <col min="15875" max="15875" width="17.19921875" style="28" customWidth="1"/>
    <col min="15876" max="15876" width="17.796875" style="28" customWidth="1"/>
    <col min="15877" max="15877" width="17.1328125" style="28" customWidth="1"/>
    <col min="15878" max="15878" width="16" style="28" customWidth="1"/>
    <col min="15879" max="15879" width="8.86328125" style="28" customWidth="1"/>
    <col min="15880" max="15880" width="11.46484375" style="28" customWidth="1"/>
    <col min="15881" max="16127" width="9.06640625" style="28"/>
    <col min="16128" max="16128" width="5.1328125" style="28" customWidth="1"/>
    <col min="16129" max="16129" width="42.796875" style="28" customWidth="1"/>
    <col min="16130" max="16130" width="17.796875" style="28" customWidth="1"/>
    <col min="16131" max="16131" width="17.19921875" style="28" customWidth="1"/>
    <col min="16132" max="16132" width="17.796875" style="28" customWidth="1"/>
    <col min="16133" max="16133" width="17.1328125" style="28" customWidth="1"/>
    <col min="16134" max="16134" width="16" style="28" customWidth="1"/>
    <col min="16135" max="16135" width="8.86328125" style="28" customWidth="1"/>
    <col min="16136" max="16136" width="11.46484375" style="28" customWidth="1"/>
    <col min="16137" max="16384" width="9.06640625" style="28"/>
  </cols>
  <sheetData>
    <row r="1" spans="1:18">
      <c r="A1" s="112" t="s">
        <v>164</v>
      </c>
      <c r="B1" s="112"/>
      <c r="C1" s="29"/>
      <c r="D1" s="29"/>
      <c r="E1" s="29"/>
      <c r="F1" s="29"/>
      <c r="G1" s="29"/>
      <c r="H1" s="29"/>
      <c r="I1" s="29"/>
      <c r="J1" s="30"/>
      <c r="L1" s="113" t="s">
        <v>165</v>
      </c>
      <c r="M1" s="113"/>
      <c r="N1" s="74"/>
    </row>
    <row r="2" spans="1:18">
      <c r="A2" s="33"/>
      <c r="C2" s="29"/>
      <c r="D2" s="29"/>
      <c r="E2" s="29"/>
      <c r="F2" s="29"/>
      <c r="G2" s="29"/>
      <c r="H2" s="29"/>
      <c r="I2" s="29"/>
      <c r="J2" s="30"/>
      <c r="L2" s="74"/>
      <c r="M2" s="74"/>
      <c r="N2" s="74"/>
    </row>
    <row r="3" spans="1:18">
      <c r="A3" s="112" t="s">
        <v>201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73"/>
    </row>
    <row r="4" spans="1:18">
      <c r="A4" s="112" t="s">
        <v>202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8">
      <c r="C5" s="29"/>
      <c r="D5" s="29"/>
      <c r="E5" s="29"/>
      <c r="F5" s="29"/>
      <c r="G5" s="29"/>
      <c r="H5" s="29"/>
      <c r="I5" s="4"/>
      <c r="J5" s="30"/>
      <c r="L5" s="101"/>
      <c r="M5" s="120" t="s">
        <v>167</v>
      </c>
      <c r="N5" s="120"/>
    </row>
    <row r="6" spans="1:18" ht="24.75" customHeight="1">
      <c r="A6" s="115" t="s">
        <v>124</v>
      </c>
      <c r="B6" s="117" t="s">
        <v>125</v>
      </c>
      <c r="C6" s="118" t="s">
        <v>185</v>
      </c>
      <c r="D6" s="118"/>
      <c r="E6" s="118"/>
      <c r="F6" s="118"/>
      <c r="G6" s="118"/>
      <c r="H6" s="118" t="s">
        <v>186</v>
      </c>
      <c r="I6" s="118" t="s">
        <v>161</v>
      </c>
      <c r="J6" s="118"/>
      <c r="K6" s="123"/>
      <c r="L6" s="117" t="s">
        <v>126</v>
      </c>
      <c r="M6" s="118"/>
      <c r="N6" s="119"/>
    </row>
    <row r="7" spans="1:18" ht="72.849999999999994" customHeight="1">
      <c r="A7" s="115"/>
      <c r="B7" s="121"/>
      <c r="C7" s="76" t="s">
        <v>193</v>
      </c>
      <c r="D7" s="76" t="s">
        <v>195</v>
      </c>
      <c r="E7" s="76" t="s">
        <v>191</v>
      </c>
      <c r="F7" s="106" t="s">
        <v>196</v>
      </c>
      <c r="G7" s="76" t="s">
        <v>192</v>
      </c>
      <c r="H7" s="122"/>
      <c r="I7" s="76" t="s">
        <v>127</v>
      </c>
      <c r="J7" s="76" t="s">
        <v>128</v>
      </c>
      <c r="K7" s="91" t="s">
        <v>129</v>
      </c>
      <c r="L7" s="97" t="s">
        <v>194</v>
      </c>
      <c r="M7" s="76" t="s">
        <v>195</v>
      </c>
      <c r="N7" s="77" t="s">
        <v>186</v>
      </c>
    </row>
    <row r="8" spans="1:18" s="31" customFormat="1" ht="15">
      <c r="A8" s="8" t="s">
        <v>12</v>
      </c>
      <c r="B8" s="78" t="s">
        <v>13</v>
      </c>
      <c r="C8" s="79">
        <v>1</v>
      </c>
      <c r="D8" s="79">
        <v>2</v>
      </c>
      <c r="E8" s="79">
        <v>3</v>
      </c>
      <c r="F8" s="79">
        <v>4</v>
      </c>
      <c r="G8" s="79">
        <v>5</v>
      </c>
      <c r="H8" s="79" t="s">
        <v>200</v>
      </c>
      <c r="I8" s="79">
        <v>7</v>
      </c>
      <c r="J8" s="79">
        <v>8</v>
      </c>
      <c r="K8" s="79">
        <v>9</v>
      </c>
      <c r="L8" s="78" t="s">
        <v>199</v>
      </c>
      <c r="M8" s="79" t="s">
        <v>198</v>
      </c>
      <c r="N8" s="79" t="s">
        <v>197</v>
      </c>
    </row>
    <row r="9" spans="1:18" s="3" customFormat="1" ht="15">
      <c r="A9" s="75" t="s">
        <v>12</v>
      </c>
      <c r="B9" s="80" t="s">
        <v>130</v>
      </c>
      <c r="C9" s="81">
        <f>C10+C16+C17+C32+C33</f>
        <v>335228</v>
      </c>
      <c r="D9" s="81">
        <f>D10+D16+D17+D32+D33</f>
        <v>335228</v>
      </c>
      <c r="E9" s="81">
        <f>E10+E16+E17+E32+E33</f>
        <v>68645.563075999991</v>
      </c>
      <c r="F9" s="81">
        <f>F10+F16+F17+F32+F33</f>
        <v>5851</v>
      </c>
      <c r="G9" s="84">
        <f>G10+G16+G17+G32+G33</f>
        <v>192019</v>
      </c>
      <c r="H9" s="81">
        <f>D9+G9+F9+E9</f>
        <v>601743.56307599996</v>
      </c>
      <c r="I9" s="81">
        <f>I10+I16+I17+I32+I33</f>
        <v>235708.39597299998</v>
      </c>
      <c r="J9" s="81">
        <f>J10+J16+J17+J32+J33</f>
        <v>209956.17239299999</v>
      </c>
      <c r="K9" s="92">
        <f>K10+K16+K17+K32+K33</f>
        <v>25752.223580000002</v>
      </c>
      <c r="L9" s="98">
        <f>+I9/C9*100</f>
        <v>70.31286049285859</v>
      </c>
      <c r="M9" s="81">
        <f>+I9/D9*100</f>
        <v>70.31286049285859</v>
      </c>
      <c r="N9" s="81">
        <f>+I9/H9*100</f>
        <v>39.170904424486565</v>
      </c>
      <c r="P9" s="109">
        <v>7460</v>
      </c>
      <c r="Q9" s="109">
        <v>15810</v>
      </c>
      <c r="R9" s="110">
        <f>H10+P9+Q9</f>
        <v>217991.271033</v>
      </c>
    </row>
    <row r="10" spans="1:18" s="3" customFormat="1" ht="21.75" customHeight="1">
      <c r="A10" s="32" t="s">
        <v>20</v>
      </c>
      <c r="B10" s="80" t="s">
        <v>131</v>
      </c>
      <c r="C10" s="81">
        <f>C11+C14+C15</f>
        <v>14102</v>
      </c>
      <c r="D10" s="81">
        <f t="shared" ref="D10:K10" si="0">D11+D14+D15</f>
        <v>14102</v>
      </c>
      <c r="E10" s="81">
        <f t="shared" si="0"/>
        <v>54227.271032999997</v>
      </c>
      <c r="F10" s="81">
        <f t="shared" ref="F10" si="1">F11+F14+F15</f>
        <v>1500</v>
      </c>
      <c r="G10" s="81">
        <f t="shared" si="0"/>
        <v>124892</v>
      </c>
      <c r="H10" s="81">
        <f>H11+H14+H15</f>
        <v>194721.271033</v>
      </c>
      <c r="I10" s="81">
        <f t="shared" si="0"/>
        <v>90298.647620999996</v>
      </c>
      <c r="J10" s="81">
        <f t="shared" si="0"/>
        <v>90298.647620999996</v>
      </c>
      <c r="K10" s="81">
        <f t="shared" si="0"/>
        <v>0</v>
      </c>
      <c r="L10" s="98">
        <f>+I10/C10*100</f>
        <v>640.32511431711805</v>
      </c>
      <c r="M10" s="81">
        <f>+I10/D10*100</f>
        <v>640.32511431711805</v>
      </c>
      <c r="N10" s="81">
        <f t="shared" ref="N10:N41" si="2">+I10/H10*100</f>
        <v>46.373283792758734</v>
      </c>
      <c r="R10" s="110">
        <f>R9+G17+E17</f>
        <v>299536.56307599996</v>
      </c>
    </row>
    <row r="11" spans="1:18" s="3" customFormat="1" ht="30">
      <c r="A11" s="32">
        <v>1</v>
      </c>
      <c r="B11" s="80" t="s">
        <v>187</v>
      </c>
      <c r="C11" s="81">
        <f>C12+C13</f>
        <v>14102</v>
      </c>
      <c r="D11" s="81">
        <f t="shared" ref="D11:E11" si="3">D12+D13</f>
        <v>14102</v>
      </c>
      <c r="E11" s="81">
        <f t="shared" si="3"/>
        <v>2214.943769</v>
      </c>
      <c r="F11" s="81">
        <f t="shared" ref="F11" si="4">F12+F13</f>
        <v>1500</v>
      </c>
      <c r="G11" s="81">
        <f t="shared" ref="G11" si="5">G12+G13</f>
        <v>0</v>
      </c>
      <c r="H11" s="81">
        <f>D11+F11+G11+E11</f>
        <v>17816.943769000001</v>
      </c>
      <c r="I11" s="81">
        <f>I12+I13</f>
        <v>5986.2820159999992</v>
      </c>
      <c r="J11" s="81">
        <f t="shared" ref="J11:K11" si="6">J12+J13</f>
        <v>5986.2820159999992</v>
      </c>
      <c r="K11" s="81">
        <f t="shared" si="6"/>
        <v>0</v>
      </c>
      <c r="L11" s="98">
        <f>+I11/C11*100</f>
        <v>42.449879563182527</v>
      </c>
      <c r="M11" s="81">
        <f>+I11/D11*100</f>
        <v>42.449879563182527</v>
      </c>
      <c r="N11" s="81">
        <f t="shared" si="2"/>
        <v>33.598815226748549</v>
      </c>
      <c r="R11" s="110">
        <f>R10-F10</f>
        <v>298036.56307599996</v>
      </c>
    </row>
    <row r="12" spans="1:18" s="105" customFormat="1" ht="18.399999999999999" customHeight="1">
      <c r="A12" s="102" t="s">
        <v>70</v>
      </c>
      <c r="B12" s="87" t="s">
        <v>189</v>
      </c>
      <c r="C12" s="88">
        <v>14102</v>
      </c>
      <c r="D12" s="88">
        <v>14102</v>
      </c>
      <c r="E12" s="88">
        <v>17.094999999999999</v>
      </c>
      <c r="F12" s="88"/>
      <c r="G12" s="88"/>
      <c r="H12" s="88">
        <f>D12+G12+F12+E12</f>
        <v>14119.094999999999</v>
      </c>
      <c r="I12" s="88">
        <f t="shared" ref="I12:I14" si="7">+J12+K12</f>
        <v>5986.2820159999992</v>
      </c>
      <c r="J12" s="88">
        <v>5986.2820159999992</v>
      </c>
      <c r="K12" s="103"/>
      <c r="L12" s="104"/>
      <c r="M12" s="88"/>
      <c r="N12" s="88">
        <f t="shared" si="2"/>
        <v>42.398482452310148</v>
      </c>
    </row>
    <row r="13" spans="1:18" s="105" customFormat="1">
      <c r="A13" s="102" t="s">
        <v>71</v>
      </c>
      <c r="B13" s="87" t="s">
        <v>190</v>
      </c>
      <c r="C13" s="88"/>
      <c r="D13" s="88"/>
      <c r="E13" s="88">
        <v>2197.8487690000002</v>
      </c>
      <c r="F13" s="107">
        <v>1500</v>
      </c>
      <c r="G13" s="88"/>
      <c r="H13" s="88">
        <f>D13+G13+F13+E13</f>
        <v>3697.8487690000002</v>
      </c>
      <c r="I13" s="88">
        <f t="shared" si="7"/>
        <v>0</v>
      </c>
      <c r="J13" s="88"/>
      <c r="K13" s="103"/>
      <c r="L13" s="104"/>
      <c r="M13" s="88"/>
      <c r="N13" s="88">
        <f t="shared" si="2"/>
        <v>0</v>
      </c>
    </row>
    <row r="14" spans="1:18" s="3" customFormat="1" ht="30">
      <c r="A14" s="32">
        <v>2</v>
      </c>
      <c r="B14" s="80" t="s">
        <v>188</v>
      </c>
      <c r="C14" s="81"/>
      <c r="D14" s="81"/>
      <c r="E14" s="81">
        <v>52012.327264</v>
      </c>
      <c r="F14" s="81"/>
      <c r="G14" s="84">
        <v>124892</v>
      </c>
      <c r="H14" s="81">
        <f t="shared" ref="H14:H41" si="8">D14+G14+E14</f>
        <v>176904.32726399999</v>
      </c>
      <c r="I14" s="83">
        <f t="shared" si="7"/>
        <v>84312.365604999999</v>
      </c>
      <c r="J14" s="83">
        <f>90298.647621 -J12</f>
        <v>84312.365604999999</v>
      </c>
      <c r="K14" s="92"/>
      <c r="L14" s="98"/>
      <c r="M14" s="81"/>
      <c r="N14" s="81">
        <f t="shared" si="2"/>
        <v>47.659866159846928</v>
      </c>
    </row>
    <row r="15" spans="1:18" s="3" customFormat="1">
      <c r="A15" s="75">
        <v>3</v>
      </c>
      <c r="B15" s="80" t="s">
        <v>133</v>
      </c>
      <c r="C15" s="81"/>
      <c r="D15" s="81"/>
      <c r="E15" s="81"/>
      <c r="F15" s="81"/>
      <c r="G15" s="81"/>
      <c r="H15" s="81">
        <f>D15+G15+F15+E15</f>
        <v>0</v>
      </c>
      <c r="I15" s="83">
        <f>+J15+K15</f>
        <v>0</v>
      </c>
      <c r="J15" s="81"/>
      <c r="K15" s="92"/>
      <c r="L15" s="98"/>
      <c r="M15" s="81"/>
      <c r="N15" s="81"/>
    </row>
    <row r="16" spans="1:18" s="3" customFormat="1">
      <c r="A16" s="75" t="s">
        <v>67</v>
      </c>
      <c r="B16" s="80" t="s">
        <v>134</v>
      </c>
      <c r="C16" s="81"/>
      <c r="D16" s="81"/>
      <c r="E16" s="81"/>
      <c r="F16" s="81"/>
      <c r="G16" s="81"/>
      <c r="H16" s="81">
        <f>D16+G16+F16+E16</f>
        <v>0</v>
      </c>
      <c r="I16" s="83">
        <f>+J16+K16</f>
        <v>0</v>
      </c>
      <c r="J16" s="81"/>
      <c r="K16" s="92"/>
      <c r="L16" s="98"/>
      <c r="M16" s="81"/>
      <c r="N16" s="81"/>
    </row>
    <row r="17" spans="1:14" s="3" customFormat="1" ht="15">
      <c r="A17" s="75" t="s">
        <v>83</v>
      </c>
      <c r="B17" s="80" t="s">
        <v>135</v>
      </c>
      <c r="C17" s="81">
        <f>SUM(C18:C31)</f>
        <v>314619</v>
      </c>
      <c r="D17" s="81">
        <f>SUM(D18:D31)</f>
        <v>314619</v>
      </c>
      <c r="E17" s="81">
        <f t="shared" ref="E17:G17" si="9">SUM(E18:E31)</f>
        <v>14418.292042999999</v>
      </c>
      <c r="F17" s="81">
        <f t="shared" si="9"/>
        <v>4351</v>
      </c>
      <c r="G17" s="81">
        <f t="shared" si="9"/>
        <v>67127</v>
      </c>
      <c r="H17" s="81">
        <f>D17+G17+F17+E17</f>
        <v>400515.29204299999</v>
      </c>
      <c r="I17" s="81">
        <f>SUM(I18:I31)</f>
        <v>145409.748352</v>
      </c>
      <c r="J17" s="81">
        <f>SUM(J18:J31)</f>
        <v>119657.52477199999</v>
      </c>
      <c r="K17" s="92">
        <f>SUM(K18:K31)</f>
        <v>25752.223580000002</v>
      </c>
      <c r="L17" s="98">
        <f>+I17/C17*100</f>
        <v>46.217726314049692</v>
      </c>
      <c r="M17" s="81">
        <f t="shared" ref="M17:M35" si="10">+I17/D17*100</f>
        <v>46.217726314049692</v>
      </c>
      <c r="N17" s="81">
        <f>+I17/H17*100</f>
        <v>36.305667034653091</v>
      </c>
    </row>
    <row r="18" spans="1:14">
      <c r="A18" s="10">
        <v>1</v>
      </c>
      <c r="B18" s="82" t="s">
        <v>132</v>
      </c>
      <c r="C18" s="83">
        <f>D18</f>
        <v>5520.8</v>
      </c>
      <c r="D18" s="83">
        <f>5520800000/1000000</f>
        <v>5520.8</v>
      </c>
      <c r="E18" s="83"/>
      <c r="F18" s="83"/>
      <c r="G18" s="83"/>
      <c r="H18" s="83">
        <f>D18+G18+F18+E18</f>
        <v>5520.8</v>
      </c>
      <c r="I18" s="83">
        <f>J18+K18</f>
        <v>4120.5338229999998</v>
      </c>
      <c r="J18" s="83">
        <f>1417177412/1000000</f>
        <v>1417.177412</v>
      </c>
      <c r="K18" s="93">
        <f>2703356411/1000000</f>
        <v>2703.3564110000002</v>
      </c>
      <c r="L18" s="99">
        <f t="shared" ref="L18:L37" si="11">+I18/C18*100</f>
        <v>74.636534976814943</v>
      </c>
      <c r="M18" s="83">
        <f t="shared" si="10"/>
        <v>74.636534976814943</v>
      </c>
      <c r="N18" s="83">
        <f t="shared" si="2"/>
        <v>74.636534976814943</v>
      </c>
    </row>
    <row r="19" spans="1:14">
      <c r="A19" s="10">
        <v>2</v>
      </c>
      <c r="B19" s="82" t="s">
        <v>136</v>
      </c>
      <c r="C19" s="83">
        <f t="shared" ref="C19:C31" si="12">D19</f>
        <v>2104</v>
      </c>
      <c r="D19" s="83">
        <f>(850000000+1174000000+80000000)/1000000</f>
        <v>2104</v>
      </c>
      <c r="E19" s="83"/>
      <c r="F19" s="83"/>
      <c r="G19" s="83">
        <v>50</v>
      </c>
      <c r="H19" s="83">
        <f t="shared" ref="H19:H31" si="13">D19+G19+F19+E19</f>
        <v>2154</v>
      </c>
      <c r="I19" s="83">
        <f t="shared" ref="I19:I31" si="14">J19+K19</f>
        <v>934.36349999999993</v>
      </c>
      <c r="J19" s="83">
        <f>436950000/1000000</f>
        <v>436.95</v>
      </c>
      <c r="K19" s="93">
        <f>497413500/1000000</f>
        <v>497.4135</v>
      </c>
      <c r="L19" s="99">
        <f>+I19/C19*100</f>
        <v>44.40891159695817</v>
      </c>
      <c r="M19" s="83">
        <f t="shared" si="10"/>
        <v>44.40891159695817</v>
      </c>
      <c r="N19" s="83">
        <f>+I19/H19*100</f>
        <v>43.37806406685236</v>
      </c>
    </row>
    <row r="20" spans="1:14">
      <c r="A20" s="10">
        <v>3</v>
      </c>
      <c r="B20" s="82" t="s">
        <v>137</v>
      </c>
      <c r="C20" s="83">
        <f t="shared" si="12"/>
        <v>187210</v>
      </c>
      <c r="D20" s="83">
        <f>187210000000/1000000</f>
        <v>187210</v>
      </c>
      <c r="E20" s="83">
        <v>2821.85</v>
      </c>
      <c r="F20" s="83"/>
      <c r="G20" s="83">
        <f>1561+5255</f>
        <v>6816</v>
      </c>
      <c r="H20" s="83">
        <f>D20+G20+F20+E20</f>
        <v>196847.85</v>
      </c>
      <c r="I20" s="83">
        <f t="shared" si="14"/>
        <v>85647.565881000002</v>
      </c>
      <c r="J20" s="83">
        <f>85341982311 /1000000</f>
        <v>85341.982311</v>
      </c>
      <c r="K20" s="93">
        <f>305583570/1000000</f>
        <v>305.58357000000001</v>
      </c>
      <c r="L20" s="99">
        <f t="shared" si="11"/>
        <v>45.749460969499495</v>
      </c>
      <c r="M20" s="83">
        <f t="shared" si="10"/>
        <v>45.749460969499495</v>
      </c>
      <c r="N20" s="83">
        <f t="shared" si="2"/>
        <v>43.509525697639063</v>
      </c>
    </row>
    <row r="21" spans="1:14">
      <c r="A21" s="10">
        <v>4</v>
      </c>
      <c r="B21" s="82" t="s">
        <v>138</v>
      </c>
      <c r="C21" s="83">
        <f t="shared" si="12"/>
        <v>200</v>
      </c>
      <c r="D21" s="83">
        <v>200</v>
      </c>
      <c r="E21" s="83"/>
      <c r="F21" s="83"/>
      <c r="G21" s="83"/>
      <c r="H21" s="83">
        <f>D21+G21+F21+E21</f>
        <v>200</v>
      </c>
      <c r="I21" s="83">
        <f t="shared" si="14"/>
        <v>180</v>
      </c>
      <c r="J21" s="83">
        <v>180</v>
      </c>
      <c r="K21" s="93"/>
      <c r="L21" s="99">
        <f t="shared" si="11"/>
        <v>90</v>
      </c>
      <c r="M21" s="83">
        <f t="shared" si="10"/>
        <v>90</v>
      </c>
      <c r="N21" s="83">
        <f t="shared" si="2"/>
        <v>90</v>
      </c>
    </row>
    <row r="22" spans="1:14" ht="16.899999999999999" customHeight="1">
      <c r="A22" s="10">
        <v>5</v>
      </c>
      <c r="B22" s="82" t="s">
        <v>139</v>
      </c>
      <c r="C22" s="83">
        <f t="shared" si="12"/>
        <v>80</v>
      </c>
      <c r="D22" s="83">
        <v>80</v>
      </c>
      <c r="E22" s="83"/>
      <c r="F22" s="83"/>
      <c r="G22" s="83"/>
      <c r="H22" s="83">
        <f t="shared" si="13"/>
        <v>80</v>
      </c>
      <c r="I22" s="83">
        <f t="shared" si="14"/>
        <v>240.20115000000001</v>
      </c>
      <c r="J22" s="83">
        <f>240201150/1000000</f>
        <v>240.20115000000001</v>
      </c>
      <c r="K22" s="93"/>
      <c r="L22" s="99">
        <f t="shared" si="11"/>
        <v>300.25143750000001</v>
      </c>
      <c r="M22" s="83">
        <f t="shared" si="10"/>
        <v>300.25143750000001</v>
      </c>
      <c r="N22" s="83">
        <f t="shared" si="2"/>
        <v>300.25143750000001</v>
      </c>
    </row>
    <row r="23" spans="1:14">
      <c r="A23" s="10">
        <v>6</v>
      </c>
      <c r="B23" s="82" t="s">
        <v>140</v>
      </c>
      <c r="C23" s="83">
        <f t="shared" si="12"/>
        <v>2641.1039999999998</v>
      </c>
      <c r="D23" s="83">
        <f>(1313104000+1328000000)/1000000</f>
        <v>2641.1039999999998</v>
      </c>
      <c r="E23" s="83">
        <v>142</v>
      </c>
      <c r="F23" s="83"/>
      <c r="G23" s="83">
        <f>123+200+451.55</f>
        <v>774.55</v>
      </c>
      <c r="H23" s="83">
        <f t="shared" si="13"/>
        <v>3557.6539999999995</v>
      </c>
      <c r="I23" s="83">
        <f t="shared" si="14"/>
        <v>1110.0200600000001</v>
      </c>
      <c r="J23" s="83">
        <f>1083830060/1000000</f>
        <v>1083.83006</v>
      </c>
      <c r="K23" s="93">
        <f>26190000/1000000</f>
        <v>26.19</v>
      </c>
      <c r="L23" s="99">
        <f t="shared" si="11"/>
        <v>42.028638781358104</v>
      </c>
      <c r="M23" s="83">
        <f t="shared" si="10"/>
        <v>42.028638781358104</v>
      </c>
      <c r="N23" s="83">
        <f t="shared" si="2"/>
        <v>31.200899806445488</v>
      </c>
    </row>
    <row r="24" spans="1:14">
      <c r="A24" s="10">
        <v>7</v>
      </c>
      <c r="B24" s="82" t="s">
        <v>141</v>
      </c>
      <c r="C24" s="83">
        <f t="shared" si="12"/>
        <v>1443.9590000000001</v>
      </c>
      <c r="D24" s="83">
        <f>1443959000/1000000</f>
        <v>1443.9590000000001</v>
      </c>
      <c r="E24" s="83"/>
      <c r="F24" s="83"/>
      <c r="G24" s="83"/>
      <c r="H24" s="83">
        <f t="shared" si="13"/>
        <v>1443.9590000000001</v>
      </c>
      <c r="I24" s="83">
        <f t="shared" si="14"/>
        <v>626.70266000000004</v>
      </c>
      <c r="J24" s="83">
        <f>626702660/1000000</f>
        <v>626.70266000000004</v>
      </c>
      <c r="K24" s="93"/>
      <c r="L24" s="99">
        <f t="shared" si="11"/>
        <v>43.401693538389942</v>
      </c>
      <c r="M24" s="83">
        <f t="shared" si="10"/>
        <v>43.401693538389942</v>
      </c>
      <c r="N24" s="83">
        <f t="shared" si="2"/>
        <v>43.401693538389942</v>
      </c>
    </row>
    <row r="25" spans="1:14">
      <c r="A25" s="10">
        <v>8</v>
      </c>
      <c r="B25" s="82" t="s">
        <v>142</v>
      </c>
      <c r="C25" s="83">
        <f t="shared" si="12"/>
        <v>370</v>
      </c>
      <c r="D25" s="83">
        <f>370000000/1000000</f>
        <v>370</v>
      </c>
      <c r="E25" s="83"/>
      <c r="F25" s="83"/>
      <c r="G25" s="83">
        <v>138.44999999999999</v>
      </c>
      <c r="H25" s="83">
        <f t="shared" si="13"/>
        <v>508.45</v>
      </c>
      <c r="I25" s="83">
        <f t="shared" si="14"/>
        <v>503.34000000000003</v>
      </c>
      <c r="J25" s="83">
        <f>337130000/1000000</f>
        <v>337.13</v>
      </c>
      <c r="K25" s="93">
        <f>166210000/1000000</f>
        <v>166.21</v>
      </c>
      <c r="L25" s="99">
        <f t="shared" si="11"/>
        <v>136.03783783783786</v>
      </c>
      <c r="M25" s="83">
        <f t="shared" si="10"/>
        <v>136.03783783783786</v>
      </c>
      <c r="N25" s="83">
        <f t="shared" si="2"/>
        <v>98.994984757596626</v>
      </c>
    </row>
    <row r="26" spans="1:14" ht="15" customHeight="1">
      <c r="A26" s="10">
        <v>9</v>
      </c>
      <c r="B26" s="82" t="s">
        <v>143</v>
      </c>
      <c r="C26" s="83">
        <f t="shared" si="12"/>
        <v>1682</v>
      </c>
      <c r="D26" s="83">
        <f>1682000000/1000000</f>
        <v>1682</v>
      </c>
      <c r="E26" s="83"/>
      <c r="F26" s="83"/>
      <c r="G26" s="83">
        <v>1000</v>
      </c>
      <c r="H26" s="83">
        <f t="shared" si="13"/>
        <v>2682</v>
      </c>
      <c r="I26" s="83">
        <f t="shared" si="14"/>
        <v>492.46515799999997</v>
      </c>
      <c r="J26" s="83">
        <f>456265158/1000000</f>
        <v>456.26515799999999</v>
      </c>
      <c r="K26" s="93">
        <f>36200000/1000000</f>
        <v>36.200000000000003</v>
      </c>
      <c r="L26" s="99">
        <f t="shared" si="11"/>
        <v>29.278546848989293</v>
      </c>
      <c r="M26" s="83">
        <f t="shared" si="10"/>
        <v>29.278546848989293</v>
      </c>
      <c r="N26" s="83">
        <f t="shared" si="2"/>
        <v>18.361862714392245</v>
      </c>
    </row>
    <row r="27" spans="1:14">
      <c r="A27" s="10">
        <v>10</v>
      </c>
      <c r="B27" s="82" t="s">
        <v>144</v>
      </c>
      <c r="C27" s="83">
        <f t="shared" si="12"/>
        <v>12626.436</v>
      </c>
      <c r="D27" s="83">
        <f>(11947436000+679000000)/1000000</f>
        <v>12626.436</v>
      </c>
      <c r="E27" s="83">
        <v>9910.9929699999993</v>
      </c>
      <c r="F27" s="83">
        <f>3500+210</f>
        <v>3710</v>
      </c>
      <c r="G27" s="83">
        <f>24415+25813</f>
        <v>50228</v>
      </c>
      <c r="H27" s="83">
        <f>D27+G27+F27+E27</f>
        <v>76475.428970000008</v>
      </c>
      <c r="I27" s="83">
        <f t="shared" si="14"/>
        <v>5943.5803260000002</v>
      </c>
      <c r="J27" s="83">
        <f>3830230926/1000000</f>
        <v>3830.2309260000002</v>
      </c>
      <c r="K27" s="93">
        <f>2113349400/1000000</f>
        <v>2113.3494000000001</v>
      </c>
      <c r="L27" s="99">
        <f>+I27/C27*100</f>
        <v>47.072509819873162</v>
      </c>
      <c r="M27" s="83">
        <f>+I27/D27*100</f>
        <v>47.072509819873162</v>
      </c>
      <c r="N27" s="83">
        <f>+I27/H27*100</f>
        <v>7.7718822974259663</v>
      </c>
    </row>
    <row r="28" spans="1:14">
      <c r="A28" s="10">
        <v>11</v>
      </c>
      <c r="B28" s="82" t="s">
        <v>145</v>
      </c>
      <c r="C28" s="83">
        <f t="shared" si="12"/>
        <v>81956.231</v>
      </c>
      <c r="D28" s="83">
        <f>(81955231000+1000000)/1000000</f>
        <v>81956.231</v>
      </c>
      <c r="E28" s="83">
        <v>1543.449073</v>
      </c>
      <c r="F28" s="83">
        <v>22</v>
      </c>
      <c r="G28" s="83">
        <f>3655+1000+2565+900</f>
        <v>8120</v>
      </c>
      <c r="H28" s="83">
        <f t="shared" si="13"/>
        <v>91641.680072999996</v>
      </c>
      <c r="I28" s="83">
        <f t="shared" si="14"/>
        <v>38151.934794000001</v>
      </c>
      <c r="J28" s="83">
        <f>18601770095/1000000</f>
        <v>18601.770095</v>
      </c>
      <c r="K28" s="93">
        <f>19550164699/1000000</f>
        <v>19550.164699000001</v>
      </c>
      <c r="L28" s="99">
        <f>+I28/C28*100</f>
        <v>46.551597515508</v>
      </c>
      <c r="M28" s="83">
        <f t="shared" si="10"/>
        <v>46.551597515508</v>
      </c>
      <c r="N28" s="83">
        <f t="shared" si="2"/>
        <v>41.63164049765227</v>
      </c>
    </row>
    <row r="29" spans="1:14">
      <c r="A29" s="10">
        <v>12</v>
      </c>
      <c r="B29" s="82" t="s">
        <v>146</v>
      </c>
      <c r="C29" s="83">
        <f t="shared" si="12"/>
        <v>14773.227999999999</v>
      </c>
      <c r="D29" s="83">
        <f>(13677228000+1096000000)/1000000</f>
        <v>14773.227999999999</v>
      </c>
      <c r="E29" s="83"/>
      <c r="F29" s="83">
        <v>619</v>
      </c>
      <c r="G29" s="83"/>
      <c r="H29" s="83">
        <f>D29+G29+F29+E29</f>
        <v>15392.227999999999</v>
      </c>
      <c r="I29" s="83">
        <f t="shared" si="14"/>
        <v>6359.0410000000002</v>
      </c>
      <c r="J29" s="83">
        <f>6005285000/1000000</f>
        <v>6005.2849999999999</v>
      </c>
      <c r="K29" s="94">
        <f>353756000/1000000</f>
        <v>353.75599999999997</v>
      </c>
      <c r="L29" s="99">
        <f t="shared" si="11"/>
        <v>43.04435699496414</v>
      </c>
      <c r="M29" s="83">
        <f t="shared" si="10"/>
        <v>43.04435699496414</v>
      </c>
      <c r="N29" s="83">
        <f t="shared" si="2"/>
        <v>41.313323841096953</v>
      </c>
    </row>
    <row r="30" spans="1:14">
      <c r="A30" s="10">
        <v>13</v>
      </c>
      <c r="B30" s="82" t="s">
        <v>147</v>
      </c>
      <c r="C30" s="83">
        <f t="shared" si="12"/>
        <v>2911.2420000000002</v>
      </c>
      <c r="D30" s="83">
        <f>2911242000/1000000</f>
        <v>2911.2420000000002</v>
      </c>
      <c r="E30" s="83"/>
      <c r="F30" s="83"/>
      <c r="G30" s="83"/>
      <c r="H30" s="83">
        <f t="shared" si="13"/>
        <v>2911.2420000000002</v>
      </c>
      <c r="I30" s="83">
        <f t="shared" si="14"/>
        <v>0</v>
      </c>
      <c r="J30" s="83"/>
      <c r="K30" s="94"/>
      <c r="L30" s="99">
        <f t="shared" si="11"/>
        <v>0</v>
      </c>
      <c r="M30" s="83">
        <f t="shared" si="10"/>
        <v>0</v>
      </c>
      <c r="N30" s="83">
        <f t="shared" si="2"/>
        <v>0</v>
      </c>
    </row>
    <row r="31" spans="1:14" ht="30.75">
      <c r="A31" s="10">
        <v>14</v>
      </c>
      <c r="B31" s="82" t="s">
        <v>148</v>
      </c>
      <c r="C31" s="83">
        <f t="shared" si="12"/>
        <v>1100</v>
      </c>
      <c r="D31" s="83">
        <v>1100</v>
      </c>
      <c r="E31" s="83"/>
      <c r="F31" s="83"/>
      <c r="G31" s="83"/>
      <c r="H31" s="83">
        <f t="shared" si="13"/>
        <v>1100</v>
      </c>
      <c r="I31" s="83">
        <f t="shared" si="14"/>
        <v>1100</v>
      </c>
      <c r="J31" s="83">
        <v>1100</v>
      </c>
      <c r="K31" s="94"/>
      <c r="L31" s="99">
        <f t="shared" si="11"/>
        <v>100</v>
      </c>
      <c r="M31" s="83">
        <f t="shared" si="10"/>
        <v>100</v>
      </c>
      <c r="N31" s="83">
        <f t="shared" si="2"/>
        <v>100</v>
      </c>
    </row>
    <row r="32" spans="1:14" s="3" customFormat="1">
      <c r="A32" s="75" t="s">
        <v>149</v>
      </c>
      <c r="B32" s="80" t="s">
        <v>150</v>
      </c>
      <c r="C32" s="81">
        <f>D32</f>
        <v>6507</v>
      </c>
      <c r="D32" s="81">
        <f>6507000000/1000000</f>
        <v>6507</v>
      </c>
      <c r="E32" s="81"/>
      <c r="F32" s="81"/>
      <c r="G32" s="81"/>
      <c r="H32" s="81">
        <f t="shared" si="8"/>
        <v>6507</v>
      </c>
      <c r="I32" s="81">
        <f>J32+K32</f>
        <v>0</v>
      </c>
      <c r="J32" s="81">
        <v>0</v>
      </c>
      <c r="K32" s="92">
        <v>0</v>
      </c>
      <c r="L32" s="99"/>
      <c r="M32" s="83">
        <f t="shared" si="10"/>
        <v>0</v>
      </c>
      <c r="N32" s="83">
        <f t="shared" si="2"/>
        <v>0</v>
      </c>
    </row>
    <row r="33" spans="1:14" s="3" customFormat="1" ht="15">
      <c r="A33" s="75" t="s">
        <v>151</v>
      </c>
      <c r="B33" s="80" t="s">
        <v>152</v>
      </c>
      <c r="C33" s="81"/>
      <c r="D33" s="81"/>
      <c r="E33" s="81"/>
      <c r="F33" s="81"/>
      <c r="G33" s="81"/>
      <c r="H33" s="81">
        <f t="shared" si="8"/>
        <v>0</v>
      </c>
      <c r="I33" s="85">
        <f>J33+K33</f>
        <v>0</v>
      </c>
      <c r="J33" s="86"/>
      <c r="K33" s="95"/>
      <c r="L33" s="98"/>
      <c r="M33" s="81"/>
      <c r="N33" s="81"/>
    </row>
    <row r="34" spans="1:14" s="3" customFormat="1">
      <c r="A34" s="75" t="s">
        <v>13</v>
      </c>
      <c r="B34" s="80" t="s">
        <v>153</v>
      </c>
      <c r="C34" s="81"/>
      <c r="D34" s="81"/>
      <c r="E34" s="81"/>
      <c r="F34" s="81"/>
      <c r="G34" s="81"/>
      <c r="H34" s="81">
        <f t="shared" si="8"/>
        <v>0</v>
      </c>
      <c r="I34" s="81"/>
      <c r="J34" s="81"/>
      <c r="K34" s="92"/>
      <c r="L34" s="99"/>
      <c r="M34" s="83"/>
      <c r="N34" s="83"/>
    </row>
    <row r="35" spans="1:14" s="3" customFormat="1" ht="30">
      <c r="A35" s="75" t="s">
        <v>14</v>
      </c>
      <c r="B35" s="80" t="s">
        <v>154</v>
      </c>
      <c r="C35" s="81">
        <f>C36+C37</f>
        <v>293370</v>
      </c>
      <c r="D35" s="81">
        <f>D36+D37</f>
        <v>58809.606</v>
      </c>
      <c r="E35" s="81"/>
      <c r="F35" s="81"/>
      <c r="G35" s="81">
        <f t="shared" ref="G35" si="15">G36+G37</f>
        <v>0</v>
      </c>
      <c r="H35" s="81">
        <f t="shared" si="8"/>
        <v>58809.606</v>
      </c>
      <c r="I35" s="81">
        <f>I36+I37</f>
        <v>31252.287998</v>
      </c>
      <c r="J35" s="81">
        <f>J36+J37</f>
        <v>31252.287998</v>
      </c>
      <c r="K35" s="92">
        <f>K36+K37</f>
        <v>0</v>
      </c>
      <c r="L35" s="98">
        <f t="shared" si="11"/>
        <v>10.652857483041894</v>
      </c>
      <c r="M35" s="81">
        <f t="shared" si="10"/>
        <v>53.141468075810607</v>
      </c>
      <c r="N35" s="81">
        <f t="shared" si="2"/>
        <v>53.141468075810607</v>
      </c>
    </row>
    <row r="36" spans="1:14">
      <c r="A36" s="10">
        <v>1</v>
      </c>
      <c r="B36" s="82" t="s">
        <v>155</v>
      </c>
      <c r="C36" s="83">
        <f>283513000000/1000000</f>
        <v>283513</v>
      </c>
      <c r="D36" s="83">
        <f>57635606000/1000000</f>
        <v>57635.606</v>
      </c>
      <c r="E36" s="83"/>
      <c r="F36" s="83"/>
      <c r="G36" s="83"/>
      <c r="H36" s="83">
        <f t="shared" si="8"/>
        <v>57635.606</v>
      </c>
      <c r="I36" s="83">
        <f>J36+K36</f>
        <v>28781.187998000001</v>
      </c>
      <c r="J36" s="83">
        <f>28781187998/1000000</f>
        <v>28781.187998000001</v>
      </c>
      <c r="K36" s="93"/>
      <c r="L36" s="99">
        <f t="shared" si="11"/>
        <v>10.15162902512407</v>
      </c>
      <c r="M36" s="83">
        <f>+I36/D36*100</f>
        <v>49.936471558917937</v>
      </c>
      <c r="N36" s="83">
        <f t="shared" si="2"/>
        <v>49.936471558917937</v>
      </c>
    </row>
    <row r="37" spans="1:14">
      <c r="A37" s="10">
        <v>2</v>
      </c>
      <c r="B37" s="82" t="s">
        <v>116</v>
      </c>
      <c r="C37" s="83">
        <f>C38+C39</f>
        <v>9857</v>
      </c>
      <c r="D37" s="83">
        <f>D38</f>
        <v>1174</v>
      </c>
      <c r="E37" s="83"/>
      <c r="F37" s="83"/>
      <c r="G37" s="83"/>
      <c r="H37" s="83">
        <f t="shared" si="8"/>
        <v>1174</v>
      </c>
      <c r="I37" s="83">
        <f>J37+K37</f>
        <v>2471.1</v>
      </c>
      <c r="J37" s="83">
        <f>J38</f>
        <v>2471.1</v>
      </c>
      <c r="K37" s="93"/>
      <c r="L37" s="99">
        <f t="shared" si="11"/>
        <v>25.069493760779142</v>
      </c>
      <c r="M37" s="83">
        <f>+I37/D37*100</f>
        <v>210.48551959114138</v>
      </c>
      <c r="N37" s="83">
        <f t="shared" si="2"/>
        <v>210.48551959114138</v>
      </c>
    </row>
    <row r="38" spans="1:14">
      <c r="A38" s="116"/>
      <c r="B38" s="87" t="s">
        <v>156</v>
      </c>
      <c r="C38" s="88">
        <f>9857000000/1000000</f>
        <v>9857</v>
      </c>
      <c r="D38" s="88">
        <f>1174000000/1000000</f>
        <v>1174</v>
      </c>
      <c r="E38" s="88"/>
      <c r="F38" s="88"/>
      <c r="G38" s="88"/>
      <c r="H38" s="83">
        <f t="shared" si="8"/>
        <v>1174</v>
      </c>
      <c r="I38" s="88">
        <f>J38+K38</f>
        <v>2471.1</v>
      </c>
      <c r="J38" s="88">
        <f>2471100000/1000000</f>
        <v>2471.1</v>
      </c>
      <c r="K38" s="93"/>
      <c r="L38" s="99"/>
      <c r="M38" s="83"/>
      <c r="N38" s="83">
        <f t="shared" si="2"/>
        <v>210.48551959114138</v>
      </c>
    </row>
    <row r="39" spans="1:14">
      <c r="A39" s="116"/>
      <c r="B39" s="87" t="s">
        <v>157</v>
      </c>
      <c r="C39" s="83"/>
      <c r="D39" s="83"/>
      <c r="E39" s="83"/>
      <c r="F39" s="83"/>
      <c r="G39" s="83"/>
      <c r="H39" s="81">
        <f t="shared" si="8"/>
        <v>0</v>
      </c>
      <c r="I39" s="88">
        <f>J39+K39</f>
        <v>0</v>
      </c>
      <c r="J39" s="83"/>
      <c r="K39" s="93"/>
      <c r="L39" s="99"/>
      <c r="M39" s="83"/>
      <c r="N39" s="83"/>
    </row>
    <row r="40" spans="1:14" s="3" customFormat="1">
      <c r="A40" s="75" t="s">
        <v>120</v>
      </c>
      <c r="B40" s="80" t="s">
        <v>158</v>
      </c>
      <c r="C40" s="81"/>
      <c r="D40" s="81"/>
      <c r="E40" s="81"/>
      <c r="F40" s="81"/>
      <c r="G40" s="81"/>
      <c r="H40" s="81">
        <f t="shared" si="8"/>
        <v>0</v>
      </c>
      <c r="I40" s="81">
        <f>+J40+K40</f>
        <v>0.58960000000000001</v>
      </c>
      <c r="J40" s="81">
        <f>589600/1000000</f>
        <v>0.58960000000000001</v>
      </c>
      <c r="K40" s="92"/>
      <c r="L40" s="99"/>
      <c r="M40" s="83"/>
      <c r="N40" s="83"/>
    </row>
    <row r="41" spans="1:14" s="3" customFormat="1" ht="15">
      <c r="A41" s="75"/>
      <c r="B41" s="89" t="s">
        <v>159</v>
      </c>
      <c r="C41" s="90">
        <f>C9+C34+C35+C40</f>
        <v>628598</v>
      </c>
      <c r="D41" s="90">
        <f>D9+D34+D35+D40</f>
        <v>394037.60600000003</v>
      </c>
      <c r="E41" s="90">
        <f>E9+E34+E35+E40</f>
        <v>68645.563075999991</v>
      </c>
      <c r="F41" s="90">
        <f>F9+F34+F35+F40</f>
        <v>5851</v>
      </c>
      <c r="G41" s="90">
        <f>G9+G34+G35+G40</f>
        <v>192019</v>
      </c>
      <c r="H41" s="90">
        <f t="shared" si="8"/>
        <v>654702.16907599999</v>
      </c>
      <c r="I41" s="90">
        <f>I9+I34+I35+I40</f>
        <v>266961.27357099997</v>
      </c>
      <c r="J41" s="90">
        <f>J9+J34+J35+J40</f>
        <v>241209.04999099998</v>
      </c>
      <c r="K41" s="96">
        <f>K9+K34+K35+K40</f>
        <v>25752.223580000002</v>
      </c>
      <c r="L41" s="100">
        <f>I41/C41*100</f>
        <v>42.469316410647181</v>
      </c>
      <c r="M41" s="90">
        <f>+I41/D41*100</f>
        <v>67.750201885806788</v>
      </c>
      <c r="N41" s="90">
        <f t="shared" si="2"/>
        <v>40.775987339062901</v>
      </c>
    </row>
  </sheetData>
  <mergeCells count="12">
    <mergeCell ref="A38:A39"/>
    <mergeCell ref="L6:N6"/>
    <mergeCell ref="M5:N5"/>
    <mergeCell ref="A1:B1"/>
    <mergeCell ref="L1:M1"/>
    <mergeCell ref="A3:M3"/>
    <mergeCell ref="A6:A7"/>
    <mergeCell ref="B6:B7"/>
    <mergeCell ref="C6:G6"/>
    <mergeCell ref="H6:H7"/>
    <mergeCell ref="I6:K6"/>
    <mergeCell ref="A4:N4"/>
  </mergeCells>
  <pageMargins left="0.33" right="0.3" top="0.46" bottom="0.36" header="0.3" footer="0.3"/>
  <pageSetup paperSize="9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3"/>
  <sheetViews>
    <sheetView tabSelected="1" workbookViewId="0">
      <selection activeCell="D10" sqref="D10"/>
    </sheetView>
  </sheetViews>
  <sheetFormatPr defaultColWidth="9.19921875" defaultRowHeight="17.649999999999999"/>
  <cols>
    <col min="1" max="1" width="6.19921875" style="55" customWidth="1"/>
    <col min="2" max="2" width="33.46484375" style="55" customWidth="1"/>
    <col min="3" max="3" width="16.33203125" style="56" customWidth="1"/>
    <col min="4" max="4" width="55.1328125" style="55" customWidth="1"/>
    <col min="5" max="5" width="29.53125" style="55" customWidth="1"/>
    <col min="6" max="6" width="36.19921875" style="55" hidden="1" customWidth="1"/>
    <col min="7" max="7" width="31.46484375" style="55" hidden="1" customWidth="1"/>
    <col min="8" max="9" width="31.46484375" style="57" hidden="1" customWidth="1"/>
    <col min="10" max="10" width="0" style="55" hidden="1" customWidth="1"/>
    <col min="11" max="11" width="24" style="55" hidden="1" customWidth="1"/>
    <col min="12" max="12" width="0" style="55" hidden="1" customWidth="1"/>
    <col min="13" max="13" width="16.46484375" style="58" hidden="1" customWidth="1"/>
    <col min="14" max="14" width="21.796875" style="55" hidden="1" customWidth="1"/>
    <col min="15" max="15" width="16.53125" style="55" hidden="1" customWidth="1"/>
    <col min="16" max="16" width="0" style="55" hidden="1" customWidth="1"/>
    <col min="17" max="17" width="24.796875" style="55" customWidth="1"/>
    <col min="18" max="256" width="9.19921875" style="55"/>
    <col min="257" max="257" width="6.19921875" style="55" customWidth="1"/>
    <col min="258" max="258" width="33.46484375" style="55" customWidth="1"/>
    <col min="259" max="259" width="16.33203125" style="55" customWidth="1"/>
    <col min="260" max="260" width="55.1328125" style="55" customWidth="1"/>
    <col min="261" max="261" width="36" style="55" customWidth="1"/>
    <col min="262" max="272" width="0" style="55" hidden="1" customWidth="1"/>
    <col min="273" max="273" width="24.796875" style="55" customWidth="1"/>
    <col min="274" max="512" width="9.19921875" style="55"/>
    <col min="513" max="513" width="6.19921875" style="55" customWidth="1"/>
    <col min="514" max="514" width="33.46484375" style="55" customWidth="1"/>
    <col min="515" max="515" width="16.33203125" style="55" customWidth="1"/>
    <col min="516" max="516" width="55.1328125" style="55" customWidth="1"/>
    <col min="517" max="517" width="36" style="55" customWidth="1"/>
    <col min="518" max="528" width="0" style="55" hidden="1" customWidth="1"/>
    <col min="529" max="529" width="24.796875" style="55" customWidth="1"/>
    <col min="530" max="768" width="9.19921875" style="55"/>
    <col min="769" max="769" width="6.19921875" style="55" customWidth="1"/>
    <col min="770" max="770" width="33.46484375" style="55" customWidth="1"/>
    <col min="771" max="771" width="16.33203125" style="55" customWidth="1"/>
    <col min="772" max="772" width="55.1328125" style="55" customWidth="1"/>
    <col min="773" max="773" width="36" style="55" customWidth="1"/>
    <col min="774" max="784" width="0" style="55" hidden="1" customWidth="1"/>
    <col min="785" max="785" width="24.796875" style="55" customWidth="1"/>
    <col min="786" max="1024" width="9.19921875" style="55"/>
    <col min="1025" max="1025" width="6.19921875" style="55" customWidth="1"/>
    <col min="1026" max="1026" width="33.46484375" style="55" customWidth="1"/>
    <col min="1027" max="1027" width="16.33203125" style="55" customWidth="1"/>
    <col min="1028" max="1028" width="55.1328125" style="55" customWidth="1"/>
    <col min="1029" max="1029" width="36" style="55" customWidth="1"/>
    <col min="1030" max="1040" width="0" style="55" hidden="1" customWidth="1"/>
    <col min="1041" max="1041" width="24.796875" style="55" customWidth="1"/>
    <col min="1042" max="1280" width="9.19921875" style="55"/>
    <col min="1281" max="1281" width="6.19921875" style="55" customWidth="1"/>
    <col min="1282" max="1282" width="33.46484375" style="55" customWidth="1"/>
    <col min="1283" max="1283" width="16.33203125" style="55" customWidth="1"/>
    <col min="1284" max="1284" width="55.1328125" style="55" customWidth="1"/>
    <col min="1285" max="1285" width="36" style="55" customWidth="1"/>
    <col min="1286" max="1296" width="0" style="55" hidden="1" customWidth="1"/>
    <col min="1297" max="1297" width="24.796875" style="55" customWidth="1"/>
    <col min="1298" max="1536" width="9.19921875" style="55"/>
    <col min="1537" max="1537" width="6.19921875" style="55" customWidth="1"/>
    <col min="1538" max="1538" width="33.46484375" style="55" customWidth="1"/>
    <col min="1539" max="1539" width="16.33203125" style="55" customWidth="1"/>
    <col min="1540" max="1540" width="55.1328125" style="55" customWidth="1"/>
    <col min="1541" max="1541" width="36" style="55" customWidth="1"/>
    <col min="1542" max="1552" width="0" style="55" hidden="1" customWidth="1"/>
    <col min="1553" max="1553" width="24.796875" style="55" customWidth="1"/>
    <col min="1554" max="1792" width="9.19921875" style="55"/>
    <col min="1793" max="1793" width="6.19921875" style="55" customWidth="1"/>
    <col min="1794" max="1794" width="33.46484375" style="55" customWidth="1"/>
    <col min="1795" max="1795" width="16.33203125" style="55" customWidth="1"/>
    <col min="1796" max="1796" width="55.1328125" style="55" customWidth="1"/>
    <col min="1797" max="1797" width="36" style="55" customWidth="1"/>
    <col min="1798" max="1808" width="0" style="55" hidden="1" customWidth="1"/>
    <col min="1809" max="1809" width="24.796875" style="55" customWidth="1"/>
    <col min="1810" max="2048" width="9.19921875" style="55"/>
    <col min="2049" max="2049" width="6.19921875" style="55" customWidth="1"/>
    <col min="2050" max="2050" width="33.46484375" style="55" customWidth="1"/>
    <col min="2051" max="2051" width="16.33203125" style="55" customWidth="1"/>
    <col min="2052" max="2052" width="55.1328125" style="55" customWidth="1"/>
    <col min="2053" max="2053" width="36" style="55" customWidth="1"/>
    <col min="2054" max="2064" width="0" style="55" hidden="1" customWidth="1"/>
    <col min="2065" max="2065" width="24.796875" style="55" customWidth="1"/>
    <col min="2066" max="2304" width="9.19921875" style="55"/>
    <col min="2305" max="2305" width="6.19921875" style="55" customWidth="1"/>
    <col min="2306" max="2306" width="33.46484375" style="55" customWidth="1"/>
    <col min="2307" max="2307" width="16.33203125" style="55" customWidth="1"/>
    <col min="2308" max="2308" width="55.1328125" style="55" customWidth="1"/>
    <col min="2309" max="2309" width="36" style="55" customWidth="1"/>
    <col min="2310" max="2320" width="0" style="55" hidden="1" customWidth="1"/>
    <col min="2321" max="2321" width="24.796875" style="55" customWidth="1"/>
    <col min="2322" max="2560" width="9.19921875" style="55"/>
    <col min="2561" max="2561" width="6.19921875" style="55" customWidth="1"/>
    <col min="2562" max="2562" width="33.46484375" style="55" customWidth="1"/>
    <col min="2563" max="2563" width="16.33203125" style="55" customWidth="1"/>
    <col min="2564" max="2564" width="55.1328125" style="55" customWidth="1"/>
    <col min="2565" max="2565" width="36" style="55" customWidth="1"/>
    <col min="2566" max="2576" width="0" style="55" hidden="1" customWidth="1"/>
    <col min="2577" max="2577" width="24.796875" style="55" customWidth="1"/>
    <col min="2578" max="2816" width="9.19921875" style="55"/>
    <col min="2817" max="2817" width="6.19921875" style="55" customWidth="1"/>
    <col min="2818" max="2818" width="33.46484375" style="55" customWidth="1"/>
    <col min="2819" max="2819" width="16.33203125" style="55" customWidth="1"/>
    <col min="2820" max="2820" width="55.1328125" style="55" customWidth="1"/>
    <col min="2821" max="2821" width="36" style="55" customWidth="1"/>
    <col min="2822" max="2832" width="0" style="55" hidden="1" customWidth="1"/>
    <col min="2833" max="2833" width="24.796875" style="55" customWidth="1"/>
    <col min="2834" max="3072" width="9.19921875" style="55"/>
    <col min="3073" max="3073" width="6.19921875" style="55" customWidth="1"/>
    <col min="3074" max="3074" width="33.46484375" style="55" customWidth="1"/>
    <col min="3075" max="3075" width="16.33203125" style="55" customWidth="1"/>
    <col min="3076" max="3076" width="55.1328125" style="55" customWidth="1"/>
    <col min="3077" max="3077" width="36" style="55" customWidth="1"/>
    <col min="3078" max="3088" width="0" style="55" hidden="1" customWidth="1"/>
    <col min="3089" max="3089" width="24.796875" style="55" customWidth="1"/>
    <col min="3090" max="3328" width="9.19921875" style="55"/>
    <col min="3329" max="3329" width="6.19921875" style="55" customWidth="1"/>
    <col min="3330" max="3330" width="33.46484375" style="55" customWidth="1"/>
    <col min="3331" max="3331" width="16.33203125" style="55" customWidth="1"/>
    <col min="3332" max="3332" width="55.1328125" style="55" customWidth="1"/>
    <col min="3333" max="3333" width="36" style="55" customWidth="1"/>
    <col min="3334" max="3344" width="0" style="55" hidden="1" customWidth="1"/>
    <col min="3345" max="3345" width="24.796875" style="55" customWidth="1"/>
    <col min="3346" max="3584" width="9.19921875" style="55"/>
    <col min="3585" max="3585" width="6.19921875" style="55" customWidth="1"/>
    <col min="3586" max="3586" width="33.46484375" style="55" customWidth="1"/>
    <col min="3587" max="3587" width="16.33203125" style="55" customWidth="1"/>
    <col min="3588" max="3588" width="55.1328125" style="55" customWidth="1"/>
    <col min="3589" max="3589" width="36" style="55" customWidth="1"/>
    <col min="3590" max="3600" width="0" style="55" hidden="1" customWidth="1"/>
    <col min="3601" max="3601" width="24.796875" style="55" customWidth="1"/>
    <col min="3602" max="3840" width="9.19921875" style="55"/>
    <col min="3841" max="3841" width="6.19921875" style="55" customWidth="1"/>
    <col min="3842" max="3842" width="33.46484375" style="55" customWidth="1"/>
    <col min="3843" max="3843" width="16.33203125" style="55" customWidth="1"/>
    <col min="3844" max="3844" width="55.1328125" style="55" customWidth="1"/>
    <col min="3845" max="3845" width="36" style="55" customWidth="1"/>
    <col min="3846" max="3856" width="0" style="55" hidden="1" customWidth="1"/>
    <col min="3857" max="3857" width="24.796875" style="55" customWidth="1"/>
    <col min="3858" max="4096" width="9.19921875" style="55"/>
    <col min="4097" max="4097" width="6.19921875" style="55" customWidth="1"/>
    <col min="4098" max="4098" width="33.46484375" style="55" customWidth="1"/>
    <col min="4099" max="4099" width="16.33203125" style="55" customWidth="1"/>
    <col min="4100" max="4100" width="55.1328125" style="55" customWidth="1"/>
    <col min="4101" max="4101" width="36" style="55" customWidth="1"/>
    <col min="4102" max="4112" width="0" style="55" hidden="1" customWidth="1"/>
    <col min="4113" max="4113" width="24.796875" style="55" customWidth="1"/>
    <col min="4114" max="4352" width="9.19921875" style="55"/>
    <col min="4353" max="4353" width="6.19921875" style="55" customWidth="1"/>
    <col min="4354" max="4354" width="33.46484375" style="55" customWidth="1"/>
    <col min="4355" max="4355" width="16.33203125" style="55" customWidth="1"/>
    <col min="4356" max="4356" width="55.1328125" style="55" customWidth="1"/>
    <col min="4357" max="4357" width="36" style="55" customWidth="1"/>
    <col min="4358" max="4368" width="0" style="55" hidden="1" customWidth="1"/>
    <col min="4369" max="4369" width="24.796875" style="55" customWidth="1"/>
    <col min="4370" max="4608" width="9.19921875" style="55"/>
    <col min="4609" max="4609" width="6.19921875" style="55" customWidth="1"/>
    <col min="4610" max="4610" width="33.46484375" style="55" customWidth="1"/>
    <col min="4611" max="4611" width="16.33203125" style="55" customWidth="1"/>
    <col min="4612" max="4612" width="55.1328125" style="55" customWidth="1"/>
    <col min="4613" max="4613" width="36" style="55" customWidth="1"/>
    <col min="4614" max="4624" width="0" style="55" hidden="1" customWidth="1"/>
    <col min="4625" max="4625" width="24.796875" style="55" customWidth="1"/>
    <col min="4626" max="4864" width="9.19921875" style="55"/>
    <col min="4865" max="4865" width="6.19921875" style="55" customWidth="1"/>
    <col min="4866" max="4866" width="33.46484375" style="55" customWidth="1"/>
    <col min="4867" max="4867" width="16.33203125" style="55" customWidth="1"/>
    <col min="4868" max="4868" width="55.1328125" style="55" customWidth="1"/>
    <col min="4869" max="4869" width="36" style="55" customWidth="1"/>
    <col min="4870" max="4880" width="0" style="55" hidden="1" customWidth="1"/>
    <col min="4881" max="4881" width="24.796875" style="55" customWidth="1"/>
    <col min="4882" max="5120" width="9.19921875" style="55"/>
    <col min="5121" max="5121" width="6.19921875" style="55" customWidth="1"/>
    <col min="5122" max="5122" width="33.46484375" style="55" customWidth="1"/>
    <col min="5123" max="5123" width="16.33203125" style="55" customWidth="1"/>
    <col min="5124" max="5124" width="55.1328125" style="55" customWidth="1"/>
    <col min="5125" max="5125" width="36" style="55" customWidth="1"/>
    <col min="5126" max="5136" width="0" style="55" hidden="1" customWidth="1"/>
    <col min="5137" max="5137" width="24.796875" style="55" customWidth="1"/>
    <col min="5138" max="5376" width="9.19921875" style="55"/>
    <col min="5377" max="5377" width="6.19921875" style="55" customWidth="1"/>
    <col min="5378" max="5378" width="33.46484375" style="55" customWidth="1"/>
    <col min="5379" max="5379" width="16.33203125" style="55" customWidth="1"/>
    <col min="5380" max="5380" width="55.1328125" style="55" customWidth="1"/>
    <col min="5381" max="5381" width="36" style="55" customWidth="1"/>
    <col min="5382" max="5392" width="0" style="55" hidden="1" customWidth="1"/>
    <col min="5393" max="5393" width="24.796875" style="55" customWidth="1"/>
    <col min="5394" max="5632" width="9.19921875" style="55"/>
    <col min="5633" max="5633" width="6.19921875" style="55" customWidth="1"/>
    <col min="5634" max="5634" width="33.46484375" style="55" customWidth="1"/>
    <col min="5635" max="5635" width="16.33203125" style="55" customWidth="1"/>
    <col min="5636" max="5636" width="55.1328125" style="55" customWidth="1"/>
    <col min="5637" max="5637" width="36" style="55" customWidth="1"/>
    <col min="5638" max="5648" width="0" style="55" hidden="1" customWidth="1"/>
    <col min="5649" max="5649" width="24.796875" style="55" customWidth="1"/>
    <col min="5650" max="5888" width="9.19921875" style="55"/>
    <col min="5889" max="5889" width="6.19921875" style="55" customWidth="1"/>
    <col min="5890" max="5890" width="33.46484375" style="55" customWidth="1"/>
    <col min="5891" max="5891" width="16.33203125" style="55" customWidth="1"/>
    <col min="5892" max="5892" width="55.1328125" style="55" customWidth="1"/>
    <col min="5893" max="5893" width="36" style="55" customWidth="1"/>
    <col min="5894" max="5904" width="0" style="55" hidden="1" customWidth="1"/>
    <col min="5905" max="5905" width="24.796875" style="55" customWidth="1"/>
    <col min="5906" max="6144" width="9.19921875" style="55"/>
    <col min="6145" max="6145" width="6.19921875" style="55" customWidth="1"/>
    <col min="6146" max="6146" width="33.46484375" style="55" customWidth="1"/>
    <col min="6147" max="6147" width="16.33203125" style="55" customWidth="1"/>
    <col min="6148" max="6148" width="55.1328125" style="55" customWidth="1"/>
    <col min="6149" max="6149" width="36" style="55" customWidth="1"/>
    <col min="6150" max="6160" width="0" style="55" hidden="1" customWidth="1"/>
    <col min="6161" max="6161" width="24.796875" style="55" customWidth="1"/>
    <col min="6162" max="6400" width="9.19921875" style="55"/>
    <col min="6401" max="6401" width="6.19921875" style="55" customWidth="1"/>
    <col min="6402" max="6402" width="33.46484375" style="55" customWidth="1"/>
    <col min="6403" max="6403" width="16.33203125" style="55" customWidth="1"/>
    <col min="6404" max="6404" width="55.1328125" style="55" customWidth="1"/>
    <col min="6405" max="6405" width="36" style="55" customWidth="1"/>
    <col min="6406" max="6416" width="0" style="55" hidden="1" customWidth="1"/>
    <col min="6417" max="6417" width="24.796875" style="55" customWidth="1"/>
    <col min="6418" max="6656" width="9.19921875" style="55"/>
    <col min="6657" max="6657" width="6.19921875" style="55" customWidth="1"/>
    <col min="6658" max="6658" width="33.46484375" style="55" customWidth="1"/>
    <col min="6659" max="6659" width="16.33203125" style="55" customWidth="1"/>
    <col min="6660" max="6660" width="55.1328125" style="55" customWidth="1"/>
    <col min="6661" max="6661" width="36" style="55" customWidth="1"/>
    <col min="6662" max="6672" width="0" style="55" hidden="1" customWidth="1"/>
    <col min="6673" max="6673" width="24.796875" style="55" customWidth="1"/>
    <col min="6674" max="6912" width="9.19921875" style="55"/>
    <col min="6913" max="6913" width="6.19921875" style="55" customWidth="1"/>
    <col min="6914" max="6914" width="33.46484375" style="55" customWidth="1"/>
    <col min="6915" max="6915" width="16.33203125" style="55" customWidth="1"/>
    <col min="6916" max="6916" width="55.1328125" style="55" customWidth="1"/>
    <col min="6917" max="6917" width="36" style="55" customWidth="1"/>
    <col min="6918" max="6928" width="0" style="55" hidden="1" customWidth="1"/>
    <col min="6929" max="6929" width="24.796875" style="55" customWidth="1"/>
    <col min="6930" max="7168" width="9.19921875" style="55"/>
    <col min="7169" max="7169" width="6.19921875" style="55" customWidth="1"/>
    <col min="7170" max="7170" width="33.46484375" style="55" customWidth="1"/>
    <col min="7171" max="7171" width="16.33203125" style="55" customWidth="1"/>
    <col min="7172" max="7172" width="55.1328125" style="55" customWidth="1"/>
    <col min="7173" max="7173" width="36" style="55" customWidth="1"/>
    <col min="7174" max="7184" width="0" style="55" hidden="1" customWidth="1"/>
    <col min="7185" max="7185" width="24.796875" style="55" customWidth="1"/>
    <col min="7186" max="7424" width="9.19921875" style="55"/>
    <col min="7425" max="7425" width="6.19921875" style="55" customWidth="1"/>
    <col min="7426" max="7426" width="33.46484375" style="55" customWidth="1"/>
    <col min="7427" max="7427" width="16.33203125" style="55" customWidth="1"/>
    <col min="7428" max="7428" width="55.1328125" style="55" customWidth="1"/>
    <col min="7429" max="7429" width="36" style="55" customWidth="1"/>
    <col min="7430" max="7440" width="0" style="55" hidden="1" customWidth="1"/>
    <col min="7441" max="7441" width="24.796875" style="55" customWidth="1"/>
    <col min="7442" max="7680" width="9.19921875" style="55"/>
    <col min="7681" max="7681" width="6.19921875" style="55" customWidth="1"/>
    <col min="7682" max="7682" width="33.46484375" style="55" customWidth="1"/>
    <col min="7683" max="7683" width="16.33203125" style="55" customWidth="1"/>
    <col min="7684" max="7684" width="55.1328125" style="55" customWidth="1"/>
    <col min="7685" max="7685" width="36" style="55" customWidth="1"/>
    <col min="7686" max="7696" width="0" style="55" hidden="1" customWidth="1"/>
    <col min="7697" max="7697" width="24.796875" style="55" customWidth="1"/>
    <col min="7698" max="7936" width="9.19921875" style="55"/>
    <col min="7937" max="7937" width="6.19921875" style="55" customWidth="1"/>
    <col min="7938" max="7938" width="33.46484375" style="55" customWidth="1"/>
    <col min="7939" max="7939" width="16.33203125" style="55" customWidth="1"/>
    <col min="7940" max="7940" width="55.1328125" style="55" customWidth="1"/>
    <col min="7941" max="7941" width="36" style="55" customWidth="1"/>
    <col min="7942" max="7952" width="0" style="55" hidden="1" customWidth="1"/>
    <col min="7953" max="7953" width="24.796875" style="55" customWidth="1"/>
    <col min="7954" max="8192" width="9.19921875" style="55"/>
    <col min="8193" max="8193" width="6.19921875" style="55" customWidth="1"/>
    <col min="8194" max="8194" width="33.46484375" style="55" customWidth="1"/>
    <col min="8195" max="8195" width="16.33203125" style="55" customWidth="1"/>
    <col min="8196" max="8196" width="55.1328125" style="55" customWidth="1"/>
    <col min="8197" max="8197" width="36" style="55" customWidth="1"/>
    <col min="8198" max="8208" width="0" style="55" hidden="1" customWidth="1"/>
    <col min="8209" max="8209" width="24.796875" style="55" customWidth="1"/>
    <col min="8210" max="8448" width="9.19921875" style="55"/>
    <col min="8449" max="8449" width="6.19921875" style="55" customWidth="1"/>
    <col min="8450" max="8450" width="33.46484375" style="55" customWidth="1"/>
    <col min="8451" max="8451" width="16.33203125" style="55" customWidth="1"/>
    <col min="8452" max="8452" width="55.1328125" style="55" customWidth="1"/>
    <col min="8453" max="8453" width="36" style="55" customWidth="1"/>
    <col min="8454" max="8464" width="0" style="55" hidden="1" customWidth="1"/>
    <col min="8465" max="8465" width="24.796875" style="55" customWidth="1"/>
    <col min="8466" max="8704" width="9.19921875" style="55"/>
    <col min="8705" max="8705" width="6.19921875" style="55" customWidth="1"/>
    <col min="8706" max="8706" width="33.46484375" style="55" customWidth="1"/>
    <col min="8707" max="8707" width="16.33203125" style="55" customWidth="1"/>
    <col min="8708" max="8708" width="55.1328125" style="55" customWidth="1"/>
    <col min="8709" max="8709" width="36" style="55" customWidth="1"/>
    <col min="8710" max="8720" width="0" style="55" hidden="1" customWidth="1"/>
    <col min="8721" max="8721" width="24.796875" style="55" customWidth="1"/>
    <col min="8722" max="8960" width="9.19921875" style="55"/>
    <col min="8961" max="8961" width="6.19921875" style="55" customWidth="1"/>
    <col min="8962" max="8962" width="33.46484375" style="55" customWidth="1"/>
    <col min="8963" max="8963" width="16.33203125" style="55" customWidth="1"/>
    <col min="8964" max="8964" width="55.1328125" style="55" customWidth="1"/>
    <col min="8965" max="8965" width="36" style="55" customWidth="1"/>
    <col min="8966" max="8976" width="0" style="55" hidden="1" customWidth="1"/>
    <col min="8977" max="8977" width="24.796875" style="55" customWidth="1"/>
    <col min="8978" max="9216" width="9.19921875" style="55"/>
    <col min="9217" max="9217" width="6.19921875" style="55" customWidth="1"/>
    <col min="9218" max="9218" width="33.46484375" style="55" customWidth="1"/>
    <col min="9219" max="9219" width="16.33203125" style="55" customWidth="1"/>
    <col min="9220" max="9220" width="55.1328125" style="55" customWidth="1"/>
    <col min="9221" max="9221" width="36" style="55" customWidth="1"/>
    <col min="9222" max="9232" width="0" style="55" hidden="1" customWidth="1"/>
    <col min="9233" max="9233" width="24.796875" style="55" customWidth="1"/>
    <col min="9234" max="9472" width="9.19921875" style="55"/>
    <col min="9473" max="9473" width="6.19921875" style="55" customWidth="1"/>
    <col min="9474" max="9474" width="33.46484375" style="55" customWidth="1"/>
    <col min="9475" max="9475" width="16.33203125" style="55" customWidth="1"/>
    <col min="9476" max="9476" width="55.1328125" style="55" customWidth="1"/>
    <col min="9477" max="9477" width="36" style="55" customWidth="1"/>
    <col min="9478" max="9488" width="0" style="55" hidden="1" customWidth="1"/>
    <col min="9489" max="9489" width="24.796875" style="55" customWidth="1"/>
    <col min="9490" max="9728" width="9.19921875" style="55"/>
    <col min="9729" max="9729" width="6.19921875" style="55" customWidth="1"/>
    <col min="9730" max="9730" width="33.46484375" style="55" customWidth="1"/>
    <col min="9731" max="9731" width="16.33203125" style="55" customWidth="1"/>
    <col min="9732" max="9732" width="55.1328125" style="55" customWidth="1"/>
    <col min="9733" max="9733" width="36" style="55" customWidth="1"/>
    <col min="9734" max="9744" width="0" style="55" hidden="1" customWidth="1"/>
    <col min="9745" max="9745" width="24.796875" style="55" customWidth="1"/>
    <col min="9746" max="9984" width="9.19921875" style="55"/>
    <col min="9985" max="9985" width="6.19921875" style="55" customWidth="1"/>
    <col min="9986" max="9986" width="33.46484375" style="55" customWidth="1"/>
    <col min="9987" max="9987" width="16.33203125" style="55" customWidth="1"/>
    <col min="9988" max="9988" width="55.1328125" style="55" customWidth="1"/>
    <col min="9989" max="9989" width="36" style="55" customWidth="1"/>
    <col min="9990" max="10000" width="0" style="55" hidden="1" customWidth="1"/>
    <col min="10001" max="10001" width="24.796875" style="55" customWidth="1"/>
    <col min="10002" max="10240" width="9.19921875" style="55"/>
    <col min="10241" max="10241" width="6.19921875" style="55" customWidth="1"/>
    <col min="10242" max="10242" width="33.46484375" style="55" customWidth="1"/>
    <col min="10243" max="10243" width="16.33203125" style="55" customWidth="1"/>
    <col min="10244" max="10244" width="55.1328125" style="55" customWidth="1"/>
    <col min="10245" max="10245" width="36" style="55" customWidth="1"/>
    <col min="10246" max="10256" width="0" style="55" hidden="1" customWidth="1"/>
    <col min="10257" max="10257" width="24.796875" style="55" customWidth="1"/>
    <col min="10258" max="10496" width="9.19921875" style="55"/>
    <col min="10497" max="10497" width="6.19921875" style="55" customWidth="1"/>
    <col min="10498" max="10498" width="33.46484375" style="55" customWidth="1"/>
    <col min="10499" max="10499" width="16.33203125" style="55" customWidth="1"/>
    <col min="10500" max="10500" width="55.1328125" style="55" customWidth="1"/>
    <col min="10501" max="10501" width="36" style="55" customWidth="1"/>
    <col min="10502" max="10512" width="0" style="55" hidden="1" customWidth="1"/>
    <col min="10513" max="10513" width="24.796875" style="55" customWidth="1"/>
    <col min="10514" max="10752" width="9.19921875" style="55"/>
    <col min="10753" max="10753" width="6.19921875" style="55" customWidth="1"/>
    <col min="10754" max="10754" width="33.46484375" style="55" customWidth="1"/>
    <col min="10755" max="10755" width="16.33203125" style="55" customWidth="1"/>
    <col min="10756" max="10756" width="55.1328125" style="55" customWidth="1"/>
    <col min="10757" max="10757" width="36" style="55" customWidth="1"/>
    <col min="10758" max="10768" width="0" style="55" hidden="1" customWidth="1"/>
    <col min="10769" max="10769" width="24.796875" style="55" customWidth="1"/>
    <col min="10770" max="11008" width="9.19921875" style="55"/>
    <col min="11009" max="11009" width="6.19921875" style="55" customWidth="1"/>
    <col min="11010" max="11010" width="33.46484375" style="55" customWidth="1"/>
    <col min="11011" max="11011" width="16.33203125" style="55" customWidth="1"/>
    <col min="11012" max="11012" width="55.1328125" style="55" customWidth="1"/>
    <col min="11013" max="11013" width="36" style="55" customWidth="1"/>
    <col min="11014" max="11024" width="0" style="55" hidden="1" customWidth="1"/>
    <col min="11025" max="11025" width="24.796875" style="55" customWidth="1"/>
    <col min="11026" max="11264" width="9.19921875" style="55"/>
    <col min="11265" max="11265" width="6.19921875" style="55" customWidth="1"/>
    <col min="11266" max="11266" width="33.46484375" style="55" customWidth="1"/>
    <col min="11267" max="11267" width="16.33203125" style="55" customWidth="1"/>
    <col min="11268" max="11268" width="55.1328125" style="55" customWidth="1"/>
    <col min="11269" max="11269" width="36" style="55" customWidth="1"/>
    <col min="11270" max="11280" width="0" style="55" hidden="1" customWidth="1"/>
    <col min="11281" max="11281" width="24.796875" style="55" customWidth="1"/>
    <col min="11282" max="11520" width="9.19921875" style="55"/>
    <col min="11521" max="11521" width="6.19921875" style="55" customWidth="1"/>
    <col min="11522" max="11522" width="33.46484375" style="55" customWidth="1"/>
    <col min="11523" max="11523" width="16.33203125" style="55" customWidth="1"/>
    <col min="11524" max="11524" width="55.1328125" style="55" customWidth="1"/>
    <col min="11525" max="11525" width="36" style="55" customWidth="1"/>
    <col min="11526" max="11536" width="0" style="55" hidden="1" customWidth="1"/>
    <col min="11537" max="11537" width="24.796875" style="55" customWidth="1"/>
    <col min="11538" max="11776" width="9.19921875" style="55"/>
    <col min="11777" max="11777" width="6.19921875" style="55" customWidth="1"/>
    <col min="11778" max="11778" width="33.46484375" style="55" customWidth="1"/>
    <col min="11779" max="11779" width="16.33203125" style="55" customWidth="1"/>
    <col min="11780" max="11780" width="55.1328125" style="55" customWidth="1"/>
    <col min="11781" max="11781" width="36" style="55" customWidth="1"/>
    <col min="11782" max="11792" width="0" style="55" hidden="1" customWidth="1"/>
    <col min="11793" max="11793" width="24.796875" style="55" customWidth="1"/>
    <col min="11794" max="12032" width="9.19921875" style="55"/>
    <col min="12033" max="12033" width="6.19921875" style="55" customWidth="1"/>
    <col min="12034" max="12034" width="33.46484375" style="55" customWidth="1"/>
    <col min="12035" max="12035" width="16.33203125" style="55" customWidth="1"/>
    <col min="12036" max="12036" width="55.1328125" style="55" customWidth="1"/>
    <col min="12037" max="12037" width="36" style="55" customWidth="1"/>
    <col min="12038" max="12048" width="0" style="55" hidden="1" customWidth="1"/>
    <col min="12049" max="12049" width="24.796875" style="55" customWidth="1"/>
    <col min="12050" max="12288" width="9.19921875" style="55"/>
    <col min="12289" max="12289" width="6.19921875" style="55" customWidth="1"/>
    <col min="12290" max="12290" width="33.46484375" style="55" customWidth="1"/>
    <col min="12291" max="12291" width="16.33203125" style="55" customWidth="1"/>
    <col min="12292" max="12292" width="55.1328125" style="55" customWidth="1"/>
    <col min="12293" max="12293" width="36" style="55" customWidth="1"/>
    <col min="12294" max="12304" width="0" style="55" hidden="1" customWidth="1"/>
    <col min="12305" max="12305" width="24.796875" style="55" customWidth="1"/>
    <col min="12306" max="12544" width="9.19921875" style="55"/>
    <col min="12545" max="12545" width="6.19921875" style="55" customWidth="1"/>
    <col min="12546" max="12546" width="33.46484375" style="55" customWidth="1"/>
    <col min="12547" max="12547" width="16.33203125" style="55" customWidth="1"/>
    <col min="12548" max="12548" width="55.1328125" style="55" customWidth="1"/>
    <col min="12549" max="12549" width="36" style="55" customWidth="1"/>
    <col min="12550" max="12560" width="0" style="55" hidden="1" customWidth="1"/>
    <col min="12561" max="12561" width="24.796875" style="55" customWidth="1"/>
    <col min="12562" max="12800" width="9.19921875" style="55"/>
    <col min="12801" max="12801" width="6.19921875" style="55" customWidth="1"/>
    <col min="12802" max="12802" width="33.46484375" style="55" customWidth="1"/>
    <col min="12803" max="12803" width="16.33203125" style="55" customWidth="1"/>
    <col min="12804" max="12804" width="55.1328125" style="55" customWidth="1"/>
    <col min="12805" max="12805" width="36" style="55" customWidth="1"/>
    <col min="12806" max="12816" width="0" style="55" hidden="1" customWidth="1"/>
    <col min="12817" max="12817" width="24.796875" style="55" customWidth="1"/>
    <col min="12818" max="13056" width="9.19921875" style="55"/>
    <col min="13057" max="13057" width="6.19921875" style="55" customWidth="1"/>
    <col min="13058" max="13058" width="33.46484375" style="55" customWidth="1"/>
    <col min="13059" max="13059" width="16.33203125" style="55" customWidth="1"/>
    <col min="13060" max="13060" width="55.1328125" style="55" customWidth="1"/>
    <col min="13061" max="13061" width="36" style="55" customWidth="1"/>
    <col min="13062" max="13072" width="0" style="55" hidden="1" customWidth="1"/>
    <col min="13073" max="13073" width="24.796875" style="55" customWidth="1"/>
    <col min="13074" max="13312" width="9.19921875" style="55"/>
    <col min="13313" max="13313" width="6.19921875" style="55" customWidth="1"/>
    <col min="13314" max="13314" width="33.46484375" style="55" customWidth="1"/>
    <col min="13315" max="13315" width="16.33203125" style="55" customWidth="1"/>
    <col min="13316" max="13316" width="55.1328125" style="55" customWidth="1"/>
    <col min="13317" max="13317" width="36" style="55" customWidth="1"/>
    <col min="13318" max="13328" width="0" style="55" hidden="1" customWidth="1"/>
    <col min="13329" max="13329" width="24.796875" style="55" customWidth="1"/>
    <col min="13330" max="13568" width="9.19921875" style="55"/>
    <col min="13569" max="13569" width="6.19921875" style="55" customWidth="1"/>
    <col min="13570" max="13570" width="33.46484375" style="55" customWidth="1"/>
    <col min="13571" max="13571" width="16.33203125" style="55" customWidth="1"/>
    <col min="13572" max="13572" width="55.1328125" style="55" customWidth="1"/>
    <col min="13573" max="13573" width="36" style="55" customWidth="1"/>
    <col min="13574" max="13584" width="0" style="55" hidden="1" customWidth="1"/>
    <col min="13585" max="13585" width="24.796875" style="55" customWidth="1"/>
    <col min="13586" max="13824" width="9.19921875" style="55"/>
    <col min="13825" max="13825" width="6.19921875" style="55" customWidth="1"/>
    <col min="13826" max="13826" width="33.46484375" style="55" customWidth="1"/>
    <col min="13827" max="13827" width="16.33203125" style="55" customWidth="1"/>
    <col min="13828" max="13828" width="55.1328125" style="55" customWidth="1"/>
    <col min="13829" max="13829" width="36" style="55" customWidth="1"/>
    <col min="13830" max="13840" width="0" style="55" hidden="1" customWidth="1"/>
    <col min="13841" max="13841" width="24.796875" style="55" customWidth="1"/>
    <col min="13842" max="14080" width="9.19921875" style="55"/>
    <col min="14081" max="14081" width="6.19921875" style="55" customWidth="1"/>
    <col min="14082" max="14082" width="33.46484375" style="55" customWidth="1"/>
    <col min="14083" max="14083" width="16.33203125" style="55" customWidth="1"/>
    <col min="14084" max="14084" width="55.1328125" style="55" customWidth="1"/>
    <col min="14085" max="14085" width="36" style="55" customWidth="1"/>
    <col min="14086" max="14096" width="0" style="55" hidden="1" customWidth="1"/>
    <col min="14097" max="14097" width="24.796875" style="55" customWidth="1"/>
    <col min="14098" max="14336" width="9.19921875" style="55"/>
    <col min="14337" max="14337" width="6.19921875" style="55" customWidth="1"/>
    <col min="14338" max="14338" width="33.46484375" style="55" customWidth="1"/>
    <col min="14339" max="14339" width="16.33203125" style="55" customWidth="1"/>
    <col min="14340" max="14340" width="55.1328125" style="55" customWidth="1"/>
    <col min="14341" max="14341" width="36" style="55" customWidth="1"/>
    <col min="14342" max="14352" width="0" style="55" hidden="1" customWidth="1"/>
    <col min="14353" max="14353" width="24.796875" style="55" customWidth="1"/>
    <col min="14354" max="14592" width="9.19921875" style="55"/>
    <col min="14593" max="14593" width="6.19921875" style="55" customWidth="1"/>
    <col min="14594" max="14594" width="33.46484375" style="55" customWidth="1"/>
    <col min="14595" max="14595" width="16.33203125" style="55" customWidth="1"/>
    <col min="14596" max="14596" width="55.1328125" style="55" customWidth="1"/>
    <col min="14597" max="14597" width="36" style="55" customWidth="1"/>
    <col min="14598" max="14608" width="0" style="55" hidden="1" customWidth="1"/>
    <col min="14609" max="14609" width="24.796875" style="55" customWidth="1"/>
    <col min="14610" max="14848" width="9.19921875" style="55"/>
    <col min="14849" max="14849" width="6.19921875" style="55" customWidth="1"/>
    <col min="14850" max="14850" width="33.46484375" style="55" customWidth="1"/>
    <col min="14851" max="14851" width="16.33203125" style="55" customWidth="1"/>
    <col min="14852" max="14852" width="55.1328125" style="55" customWidth="1"/>
    <col min="14853" max="14853" width="36" style="55" customWidth="1"/>
    <col min="14854" max="14864" width="0" style="55" hidden="1" customWidth="1"/>
    <col min="14865" max="14865" width="24.796875" style="55" customWidth="1"/>
    <col min="14866" max="15104" width="9.19921875" style="55"/>
    <col min="15105" max="15105" width="6.19921875" style="55" customWidth="1"/>
    <col min="15106" max="15106" width="33.46484375" style="55" customWidth="1"/>
    <col min="15107" max="15107" width="16.33203125" style="55" customWidth="1"/>
    <col min="15108" max="15108" width="55.1328125" style="55" customWidth="1"/>
    <col min="15109" max="15109" width="36" style="55" customWidth="1"/>
    <col min="15110" max="15120" width="0" style="55" hidden="1" customWidth="1"/>
    <col min="15121" max="15121" width="24.796875" style="55" customWidth="1"/>
    <col min="15122" max="15360" width="9.19921875" style="55"/>
    <col min="15361" max="15361" width="6.19921875" style="55" customWidth="1"/>
    <col min="15362" max="15362" width="33.46484375" style="55" customWidth="1"/>
    <col min="15363" max="15363" width="16.33203125" style="55" customWidth="1"/>
    <col min="15364" max="15364" width="55.1328125" style="55" customWidth="1"/>
    <col min="15365" max="15365" width="36" style="55" customWidth="1"/>
    <col min="15366" max="15376" width="0" style="55" hidden="1" customWidth="1"/>
    <col min="15377" max="15377" width="24.796875" style="55" customWidth="1"/>
    <col min="15378" max="15616" width="9.19921875" style="55"/>
    <col min="15617" max="15617" width="6.19921875" style="55" customWidth="1"/>
    <col min="15618" max="15618" width="33.46484375" style="55" customWidth="1"/>
    <col min="15619" max="15619" width="16.33203125" style="55" customWidth="1"/>
    <col min="15620" max="15620" width="55.1328125" style="55" customWidth="1"/>
    <col min="15621" max="15621" width="36" style="55" customWidth="1"/>
    <col min="15622" max="15632" width="0" style="55" hidden="1" customWidth="1"/>
    <col min="15633" max="15633" width="24.796875" style="55" customWidth="1"/>
    <col min="15634" max="15872" width="9.19921875" style="55"/>
    <col min="15873" max="15873" width="6.19921875" style="55" customWidth="1"/>
    <col min="15874" max="15874" width="33.46484375" style="55" customWidth="1"/>
    <col min="15875" max="15875" width="16.33203125" style="55" customWidth="1"/>
    <col min="15876" max="15876" width="55.1328125" style="55" customWidth="1"/>
    <col min="15877" max="15877" width="36" style="55" customWidth="1"/>
    <col min="15878" max="15888" width="0" style="55" hidden="1" customWidth="1"/>
    <col min="15889" max="15889" width="24.796875" style="55" customWidth="1"/>
    <col min="15890" max="16128" width="9.19921875" style="55"/>
    <col min="16129" max="16129" width="6.19921875" style="55" customWidth="1"/>
    <col min="16130" max="16130" width="33.46484375" style="55" customWidth="1"/>
    <col min="16131" max="16131" width="16.33203125" style="55" customWidth="1"/>
    <col min="16132" max="16132" width="55.1328125" style="55" customWidth="1"/>
    <col min="16133" max="16133" width="36" style="55" customWidth="1"/>
    <col min="16134" max="16144" width="0" style="55" hidden="1" customWidth="1"/>
    <col min="16145" max="16145" width="24.796875" style="55" customWidth="1"/>
    <col min="16146" max="16384" width="9.19921875" style="55"/>
  </cols>
  <sheetData>
    <row r="1" spans="1:14">
      <c r="A1" s="112" t="s">
        <v>164</v>
      </c>
      <c r="B1" s="112"/>
      <c r="E1" s="54" t="s">
        <v>168</v>
      </c>
    </row>
    <row r="2" spans="1:14">
      <c r="A2" s="33"/>
      <c r="B2" s="28"/>
      <c r="E2" s="54"/>
    </row>
    <row r="3" spans="1:14">
      <c r="A3" s="124" t="s">
        <v>169</v>
      </c>
      <c r="B3" s="124"/>
      <c r="C3" s="124"/>
      <c r="D3" s="124"/>
      <c r="E3" s="124"/>
      <c r="F3" s="54"/>
    </row>
    <row r="4" spans="1:14">
      <c r="A4" s="125" t="s">
        <v>170</v>
      </c>
      <c r="B4" s="126"/>
      <c r="C4" s="126"/>
      <c r="D4" s="126"/>
      <c r="E4" s="126"/>
      <c r="F4" s="59"/>
    </row>
    <row r="5" spans="1:14">
      <c r="B5" s="59"/>
      <c r="D5" s="59"/>
      <c r="E5" s="69" t="s">
        <v>167</v>
      </c>
      <c r="F5" s="59"/>
    </row>
    <row r="6" spans="1:14">
      <c r="A6" s="48" t="s">
        <v>0</v>
      </c>
      <c r="B6" s="48" t="s">
        <v>171</v>
      </c>
      <c r="C6" s="49" t="s">
        <v>172</v>
      </c>
      <c r="D6" s="50" t="s">
        <v>173</v>
      </c>
      <c r="E6" s="48" t="s">
        <v>174</v>
      </c>
      <c r="F6" s="56">
        <v>698597014</v>
      </c>
      <c r="G6" s="56" t="e">
        <f>#REF!+#REF!+'[1]Phân bổ HĐND'!$C$32</f>
        <v>#REF!</v>
      </c>
    </row>
    <row r="7" spans="1:14">
      <c r="A7" s="127" t="s">
        <v>175</v>
      </c>
      <c r="B7" s="128"/>
      <c r="C7" s="70">
        <f>C8</f>
        <v>808.56100000000004</v>
      </c>
      <c r="D7" s="50"/>
      <c r="E7" s="48"/>
      <c r="F7" s="56"/>
      <c r="G7" s="56"/>
    </row>
    <row r="8" spans="1:14" s="63" customFormat="1" ht="30">
      <c r="A8" s="51" t="s">
        <v>184</v>
      </c>
      <c r="B8" s="51" t="s">
        <v>176</v>
      </c>
      <c r="C8" s="71">
        <f>SUM(C9:C9)</f>
        <v>808.56100000000004</v>
      </c>
      <c r="D8" s="51"/>
      <c r="E8" s="51"/>
      <c r="F8" s="60"/>
      <c r="G8" s="61" t="s">
        <v>177</v>
      </c>
      <c r="H8" s="62"/>
      <c r="I8" s="62"/>
      <c r="M8" s="64"/>
      <c r="N8" s="65">
        <v>3209000000</v>
      </c>
    </row>
    <row r="9" spans="1:14" ht="46.15">
      <c r="A9" s="52">
        <v>1</v>
      </c>
      <c r="B9" s="52" t="s">
        <v>178</v>
      </c>
      <c r="C9" s="72">
        <f>808561000/1000000</f>
        <v>808.56100000000004</v>
      </c>
      <c r="D9" s="52" t="s">
        <v>179</v>
      </c>
      <c r="E9" s="52" t="s">
        <v>180</v>
      </c>
      <c r="F9" s="53"/>
      <c r="G9" s="66" t="s">
        <v>177</v>
      </c>
      <c r="H9" s="67"/>
      <c r="I9" s="67"/>
      <c r="J9" s="68">
        <v>1583</v>
      </c>
      <c r="K9" s="56">
        <v>243656000</v>
      </c>
      <c r="N9" s="56" t="e">
        <f>N8-#REF!</f>
        <v>#REF!</v>
      </c>
    </row>
    <row r="11" spans="1:14" hidden="1">
      <c r="B11" s="55" t="s">
        <v>181</v>
      </c>
      <c r="C11" s="56" t="e">
        <f>#REF!+#REF!</f>
        <v>#REF!</v>
      </c>
    </row>
    <row r="12" spans="1:14" hidden="1">
      <c r="B12" s="55" t="s">
        <v>182</v>
      </c>
      <c r="C12" s="56" t="e">
        <f>#REF!+#REF!+G6</f>
        <v>#REF!</v>
      </c>
    </row>
    <row r="13" spans="1:14" hidden="1">
      <c r="B13" s="55" t="s">
        <v>183</v>
      </c>
      <c r="C13" s="56" t="e">
        <f>#REF!-C11-C12</f>
        <v>#REF!</v>
      </c>
    </row>
  </sheetData>
  <mergeCells count="4">
    <mergeCell ref="A3:E3"/>
    <mergeCell ref="A4:E4"/>
    <mergeCell ref="A7:B7"/>
    <mergeCell ref="A1:B1"/>
  </mergeCells>
  <pageMargins left="0.48" right="0.35" top="0.5600000000000000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BC Thu</vt:lpstr>
      <vt:lpstr>BC Chi</vt:lpstr>
      <vt:lpstr>Ứng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2023-07-10T02:01:02Z</cp:lastPrinted>
  <dcterms:created xsi:type="dcterms:W3CDTF">2023-06-09T07:41:00Z</dcterms:created>
  <dcterms:modified xsi:type="dcterms:W3CDTF">2023-07-10T02:01:07Z</dcterms:modified>
</cp:coreProperties>
</file>