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HĐND NĂM 2023\KỲ HỌP THỨ 5 KHOÁ XIV\hồ sơ thẩm tra\Tờ trình 118 và Dự thảo NQ\"/>
    </mc:Choice>
  </mc:AlternateContent>
  <bookViews>
    <workbookView xWindow="0" yWindow="0" windowWidth="24000" windowHeight="9630" activeTab="1"/>
  </bookViews>
  <sheets>
    <sheet name="TH" sheetId="1" r:id="rId1"/>
    <sheet name="48" sheetId="2" r:id="rId2"/>
    <sheet name="50" sheetId="4" r:id="rId3"/>
    <sheet name="51" sheetId="5" r:id="rId4"/>
    <sheet name="52" sheetId="6" r:id="rId5"/>
    <sheet name="53" sheetId="7" r:id="rId6"/>
    <sheet name="54" sheetId="8" r:id="rId7"/>
    <sheet name="58" sheetId="12" r:id="rId8"/>
    <sheet name="59" sheetId="13" r:id="rId9"/>
    <sheet name="61" sheetId="15" r:id="rId10"/>
    <sheet name="64" sheetId="1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5" l="1"/>
  <c r="Q13" i="15"/>
  <c r="R13" i="15"/>
  <c r="P14" i="15"/>
  <c r="Q14" i="15"/>
  <c r="P15" i="15"/>
  <c r="Q15" i="15"/>
  <c r="R15" i="15"/>
  <c r="P16" i="15"/>
  <c r="Q16" i="15"/>
  <c r="P17" i="15"/>
  <c r="Q17" i="15"/>
  <c r="P18" i="15"/>
  <c r="Q18" i="15"/>
  <c r="R18" i="15"/>
  <c r="P19" i="15"/>
  <c r="Q19" i="15"/>
  <c r="P20" i="15"/>
  <c r="Q20" i="15"/>
  <c r="P21" i="15"/>
  <c r="Q21" i="15"/>
  <c r="P22" i="15"/>
  <c r="Q22" i="15"/>
  <c r="P23" i="15"/>
  <c r="Q23" i="15"/>
  <c r="P24" i="15"/>
  <c r="Q24" i="15"/>
  <c r="P25" i="15"/>
  <c r="Q25" i="15"/>
  <c r="P26" i="15"/>
  <c r="R26" i="15"/>
  <c r="P27" i="15"/>
  <c r="R27" i="15"/>
  <c r="P28" i="15"/>
  <c r="R28" i="15"/>
  <c r="P29" i="15"/>
  <c r="R29" i="15"/>
  <c r="P30" i="15"/>
  <c r="R30" i="15"/>
  <c r="P31" i="15"/>
  <c r="R31" i="15"/>
  <c r="P32" i="15"/>
  <c r="R32" i="15"/>
  <c r="P33" i="15"/>
  <c r="R33" i="15"/>
  <c r="P34" i="15"/>
  <c r="R34" i="15"/>
  <c r="P35" i="15"/>
  <c r="R35" i="15"/>
  <c r="P36" i="15"/>
  <c r="R36" i="15"/>
  <c r="P37" i="15"/>
  <c r="R37" i="15"/>
  <c r="P38" i="15"/>
  <c r="R38" i="15"/>
  <c r="P39" i="15"/>
  <c r="R39" i="15"/>
  <c r="P40" i="15"/>
  <c r="R40" i="15"/>
  <c r="P41" i="15"/>
  <c r="R41" i="15"/>
  <c r="P42" i="15"/>
  <c r="R42" i="15"/>
  <c r="P43" i="15"/>
  <c r="R43" i="15"/>
  <c r="P44" i="15"/>
  <c r="R44" i="15"/>
  <c r="P45" i="15"/>
  <c r="R45" i="15"/>
  <c r="P46" i="15"/>
  <c r="R46" i="15"/>
  <c r="P47" i="15"/>
  <c r="R47" i="15"/>
  <c r="P48" i="15"/>
  <c r="R48" i="15"/>
  <c r="P49" i="15"/>
  <c r="R49" i="15"/>
  <c r="P50" i="15"/>
  <c r="R50" i="15"/>
  <c r="P51" i="15"/>
  <c r="R51" i="15"/>
  <c r="P52" i="15"/>
  <c r="R52" i="15"/>
  <c r="P53" i="15"/>
  <c r="R53" i="15"/>
  <c r="P54" i="15"/>
  <c r="R54" i="15"/>
  <c r="P55" i="15"/>
  <c r="R55" i="15"/>
  <c r="P56" i="15"/>
  <c r="R56" i="15"/>
  <c r="P57" i="15"/>
  <c r="R57" i="15"/>
  <c r="P58" i="15"/>
  <c r="R58" i="15"/>
  <c r="P59" i="15"/>
  <c r="R59" i="15"/>
  <c r="P60" i="15"/>
  <c r="Q60" i="15"/>
  <c r="R60" i="15"/>
  <c r="P61" i="15"/>
  <c r="Q61" i="15"/>
  <c r="P62" i="15"/>
  <c r="Q62" i="15"/>
  <c r="P63" i="15"/>
  <c r="Q63" i="15"/>
  <c r="P64" i="15"/>
  <c r="Q64" i="15"/>
  <c r="P65" i="15"/>
  <c r="Q65" i="15"/>
  <c r="P66" i="15"/>
  <c r="Q66" i="15"/>
  <c r="P67" i="15"/>
  <c r="Q67" i="15"/>
  <c r="P68" i="15"/>
  <c r="Q68" i="15"/>
  <c r="P69" i="15"/>
  <c r="Q69" i="15"/>
  <c r="P70" i="15"/>
  <c r="Q70" i="15"/>
  <c r="P71" i="15"/>
  <c r="Q71" i="15"/>
  <c r="P72" i="15"/>
  <c r="Q72" i="15"/>
  <c r="P73" i="15"/>
  <c r="R73" i="15"/>
  <c r="P74" i="15"/>
  <c r="R74" i="15"/>
  <c r="P75" i="15"/>
  <c r="R75" i="15"/>
  <c r="P76" i="15"/>
  <c r="R76" i="15"/>
  <c r="P77" i="15"/>
  <c r="R77" i="15"/>
  <c r="P78" i="15"/>
  <c r="R78" i="15"/>
  <c r="P79" i="15"/>
  <c r="R79" i="15"/>
  <c r="P80" i="15"/>
  <c r="R80" i="15"/>
  <c r="P81" i="15"/>
  <c r="R81" i="15"/>
  <c r="P82" i="15"/>
  <c r="R82" i="15"/>
  <c r="P83" i="15"/>
  <c r="R83" i="15"/>
  <c r="P84" i="15"/>
  <c r="R84" i="15"/>
  <c r="P85" i="15"/>
  <c r="R85" i="15"/>
  <c r="P86" i="15"/>
  <c r="R86" i="15"/>
  <c r="P87" i="15"/>
  <c r="R87" i="15"/>
  <c r="P88" i="15"/>
  <c r="R88" i="15"/>
  <c r="P89" i="15"/>
  <c r="R89" i="15"/>
  <c r="P90" i="15"/>
  <c r="R90" i="15"/>
  <c r="P91" i="15"/>
  <c r="R91" i="15"/>
  <c r="P92" i="15"/>
  <c r="R92" i="15"/>
  <c r="P93" i="15"/>
  <c r="R93" i="15"/>
  <c r="P94" i="15"/>
  <c r="R94" i="15"/>
  <c r="P95" i="15"/>
  <c r="Q95" i="15"/>
  <c r="R95" i="15"/>
  <c r="P96" i="15"/>
  <c r="Q96" i="15"/>
  <c r="R96" i="15"/>
  <c r="P97" i="15"/>
  <c r="Q97" i="15"/>
  <c r="P98" i="15"/>
  <c r="R98" i="15"/>
  <c r="P99" i="15"/>
  <c r="Q99" i="15"/>
  <c r="P100" i="15"/>
  <c r="Q100" i="15"/>
  <c r="P101" i="15"/>
  <c r="R101" i="15"/>
  <c r="P102" i="15"/>
  <c r="R102" i="15"/>
  <c r="P103" i="15"/>
  <c r="R103" i="15"/>
  <c r="P104" i="15"/>
  <c r="R104" i="15"/>
  <c r="P105" i="15"/>
  <c r="R105" i="15"/>
  <c r="P106" i="15"/>
  <c r="R106" i="15"/>
  <c r="P107" i="15"/>
  <c r="R107" i="15"/>
  <c r="P108" i="15"/>
  <c r="R108" i="15"/>
  <c r="P109" i="15"/>
  <c r="R109" i="15"/>
  <c r="P110" i="15"/>
  <c r="R110" i="15"/>
  <c r="P111" i="15"/>
  <c r="R111" i="15"/>
  <c r="P112" i="15"/>
  <c r="R112" i="15"/>
  <c r="P113" i="15"/>
  <c r="R113" i="15"/>
  <c r="P114" i="15"/>
  <c r="R114" i="15"/>
  <c r="P115" i="15"/>
  <c r="R115" i="15"/>
  <c r="P116" i="15"/>
  <c r="R116" i="15"/>
  <c r="P117" i="15"/>
  <c r="R117" i="15"/>
  <c r="P118" i="15"/>
  <c r="R118" i="15"/>
  <c r="P119" i="15"/>
  <c r="R119" i="15"/>
  <c r="P120" i="15"/>
  <c r="R120" i="15"/>
  <c r="P121" i="15"/>
  <c r="R121" i="15"/>
  <c r="P122" i="15"/>
  <c r="R122" i="15"/>
  <c r="P123" i="15"/>
  <c r="R123" i="15"/>
  <c r="P124" i="15"/>
  <c r="R124" i="15"/>
  <c r="P125" i="15"/>
  <c r="R125" i="15"/>
  <c r="P126" i="15"/>
  <c r="Q126" i="15"/>
  <c r="R126" i="15"/>
  <c r="P127" i="15"/>
  <c r="Q127" i="15"/>
  <c r="R127" i="15"/>
  <c r="P128" i="15"/>
  <c r="Q128" i="15"/>
  <c r="R128" i="15"/>
  <c r="P129" i="15"/>
  <c r="Q129" i="15"/>
  <c r="R129" i="15"/>
  <c r="P130" i="15"/>
  <c r="Q130" i="15"/>
  <c r="R130" i="15"/>
  <c r="P131" i="15"/>
  <c r="Q131" i="15"/>
  <c r="R131" i="15"/>
  <c r="P132" i="15"/>
  <c r="Q132" i="15"/>
  <c r="R132" i="15"/>
  <c r="P133" i="15"/>
  <c r="Q133" i="15"/>
  <c r="R133" i="15"/>
  <c r="P134" i="15"/>
  <c r="Q134" i="15"/>
  <c r="R134" i="15"/>
  <c r="P135" i="15"/>
  <c r="Q135" i="15"/>
  <c r="R135" i="15"/>
  <c r="P136" i="15"/>
  <c r="Q136" i="15"/>
  <c r="R136" i="15"/>
  <c r="P137" i="15"/>
  <c r="Q137" i="15"/>
  <c r="R137" i="15"/>
  <c r="P138" i="15"/>
  <c r="Q138" i="15"/>
  <c r="R138" i="15"/>
  <c r="P139" i="15"/>
  <c r="Q139" i="15"/>
  <c r="P140" i="15"/>
  <c r="R140" i="15"/>
  <c r="P141" i="15"/>
  <c r="R141" i="15"/>
  <c r="P146" i="15"/>
  <c r="R146" i="15"/>
  <c r="P147" i="15"/>
  <c r="R147" i="15"/>
  <c r="P148" i="15"/>
  <c r="R148" i="15"/>
  <c r="P149" i="15"/>
  <c r="R149" i="15"/>
  <c r="P150" i="15"/>
  <c r="R150" i="15"/>
  <c r="P151" i="15"/>
  <c r="R151" i="15"/>
  <c r="P152" i="15"/>
  <c r="Q152" i="15"/>
  <c r="R152" i="15"/>
  <c r="P153" i="15"/>
  <c r="Q153" i="15"/>
  <c r="P154" i="15"/>
  <c r="R154" i="15"/>
  <c r="P155" i="15"/>
  <c r="R155" i="15"/>
  <c r="P156" i="15"/>
  <c r="R156" i="15"/>
  <c r="P12" i="15"/>
  <c r="Q12" i="15"/>
  <c r="R12" i="15"/>
  <c r="R11" i="15"/>
  <c r="Q11" i="15"/>
  <c r="P11" i="15"/>
  <c r="I9" i="7"/>
  <c r="J9" i="7"/>
  <c r="K9" i="7"/>
  <c r="I10" i="7"/>
  <c r="J10" i="7"/>
  <c r="I11" i="7"/>
  <c r="J11" i="7"/>
  <c r="I22" i="7"/>
  <c r="J22" i="7"/>
  <c r="I30" i="7"/>
  <c r="J30" i="7"/>
  <c r="K30" i="7"/>
  <c r="I32" i="7"/>
  <c r="J32" i="7"/>
  <c r="K32" i="7"/>
  <c r="I33" i="7"/>
  <c r="J33" i="7"/>
  <c r="K33" i="7"/>
  <c r="I38" i="7"/>
  <c r="J38" i="7"/>
  <c r="K38" i="7"/>
  <c r="I48" i="7"/>
  <c r="J48" i="7"/>
  <c r="K48" i="7"/>
  <c r="I49" i="7"/>
  <c r="J49" i="7"/>
  <c r="I50" i="7"/>
  <c r="J50" i="7"/>
  <c r="K50" i="7"/>
  <c r="J8" i="7"/>
  <c r="K8" i="7"/>
  <c r="I8" i="7"/>
  <c r="E8" i="5"/>
  <c r="E9" i="5"/>
  <c r="E10" i="5"/>
  <c r="E21" i="5"/>
  <c r="E29" i="5"/>
  <c r="E31" i="5"/>
  <c r="E32" i="5"/>
  <c r="E35" i="5"/>
  <c r="E36" i="5"/>
  <c r="E54" i="5"/>
  <c r="E55" i="5"/>
  <c r="E56" i="5"/>
  <c r="E7" i="5"/>
  <c r="F8" i="2"/>
  <c r="A3" i="2" l="1"/>
  <c r="A4" i="4" s="1"/>
  <c r="J10" i="8" l="1"/>
  <c r="R72" i="8"/>
  <c r="T72" i="8"/>
  <c r="R73" i="8"/>
  <c r="T73" i="8"/>
  <c r="Q74" i="8"/>
  <c r="R74" i="8"/>
  <c r="T74" i="8"/>
  <c r="R75" i="8"/>
  <c r="T75" i="8"/>
  <c r="R76" i="8"/>
  <c r="T76" i="8"/>
  <c r="Q77" i="8"/>
  <c r="R77" i="8"/>
  <c r="T77" i="8"/>
  <c r="R78" i="8"/>
  <c r="T78" i="8"/>
  <c r="R79" i="8"/>
  <c r="T79" i="8"/>
  <c r="R80" i="8"/>
  <c r="T80" i="8"/>
  <c r="R81" i="8"/>
  <c r="T81" i="8"/>
  <c r="Q82" i="8"/>
  <c r="R82" i="8"/>
  <c r="T82" i="8"/>
  <c r="M22" i="13"/>
  <c r="M21" i="12"/>
  <c r="M21" i="13" l="1"/>
  <c r="M20" i="12"/>
  <c r="M18" i="12" l="1"/>
  <c r="M19" i="13"/>
  <c r="M18" i="13" l="1"/>
  <c r="M17" i="13" l="1"/>
  <c r="M16" i="12"/>
  <c r="M16" i="13" l="1"/>
  <c r="M15" i="12"/>
  <c r="M15" i="13" l="1"/>
  <c r="M14" i="12"/>
  <c r="M14" i="13" l="1"/>
  <c r="M13" i="13" l="1"/>
  <c r="M12" i="13" l="1"/>
  <c r="M20" i="13" l="1"/>
  <c r="D150" i="15" l="1"/>
  <c r="E150" i="15"/>
  <c r="J150" i="15"/>
  <c r="K150" i="15"/>
  <c r="L150" i="15"/>
  <c r="N150" i="15"/>
  <c r="O150" i="15"/>
  <c r="D152" i="15"/>
  <c r="E152" i="15"/>
  <c r="K152" i="15"/>
  <c r="L152" i="15"/>
  <c r="N152" i="15"/>
  <c r="O152" i="15"/>
  <c r="M154" i="15"/>
  <c r="H154" i="15" s="1"/>
  <c r="M155" i="15"/>
  <c r="H155" i="15" s="1"/>
  <c r="M156" i="15"/>
  <c r="H156" i="15" s="1"/>
  <c r="J154" i="15"/>
  <c r="G154" i="15" s="1"/>
  <c r="J155" i="15"/>
  <c r="J156" i="15"/>
  <c r="G156" i="15" s="1"/>
  <c r="C154" i="15"/>
  <c r="C155" i="15"/>
  <c r="C156" i="15"/>
  <c r="M151" i="15"/>
  <c r="H151" i="15" s="1"/>
  <c r="H150" i="15" s="1"/>
  <c r="J151" i="15"/>
  <c r="G151" i="15" s="1"/>
  <c r="G150" i="15" s="1"/>
  <c r="D148" i="15"/>
  <c r="E148" i="15"/>
  <c r="K148" i="15"/>
  <c r="L148" i="15"/>
  <c r="M148" i="15"/>
  <c r="N148" i="15"/>
  <c r="O148" i="15"/>
  <c r="J149" i="15"/>
  <c r="I149" i="15" s="1"/>
  <c r="I148" i="15" s="1"/>
  <c r="M149" i="15"/>
  <c r="H149" i="15" s="1"/>
  <c r="C149" i="15"/>
  <c r="C148" i="15" s="1"/>
  <c r="C151" i="15"/>
  <c r="C150" i="15" s="1"/>
  <c r="C153" i="15"/>
  <c r="C152" i="15" s="1"/>
  <c r="C147" i="15"/>
  <c r="C146" i="15" s="1"/>
  <c r="C140" i="15"/>
  <c r="C127" i="15"/>
  <c r="D138" i="15"/>
  <c r="E138" i="15"/>
  <c r="K138" i="15"/>
  <c r="L138" i="15"/>
  <c r="N138" i="15"/>
  <c r="O138" i="15"/>
  <c r="M140" i="15"/>
  <c r="H140" i="15" s="1"/>
  <c r="M141" i="15"/>
  <c r="H141" i="15" s="1"/>
  <c r="M142" i="15"/>
  <c r="H142" i="15" s="1"/>
  <c r="M143" i="15"/>
  <c r="H143" i="15" s="1"/>
  <c r="M144" i="15"/>
  <c r="H144" i="15" s="1"/>
  <c r="M145" i="15"/>
  <c r="J140" i="15"/>
  <c r="J141" i="15"/>
  <c r="G141" i="15" s="1"/>
  <c r="J142" i="15"/>
  <c r="G142" i="15" s="1"/>
  <c r="J143" i="15"/>
  <c r="G143" i="15" s="1"/>
  <c r="J144" i="15"/>
  <c r="J145" i="15"/>
  <c r="G145" i="15" s="1"/>
  <c r="H145" i="15"/>
  <c r="C141" i="15"/>
  <c r="C142" i="15"/>
  <c r="C143" i="15"/>
  <c r="C144" i="15"/>
  <c r="C145" i="15"/>
  <c r="D114" i="15"/>
  <c r="E114" i="15"/>
  <c r="K114" i="15"/>
  <c r="L114" i="15"/>
  <c r="N114" i="15"/>
  <c r="O114" i="15"/>
  <c r="D102" i="15"/>
  <c r="E102" i="15"/>
  <c r="E101" i="15" s="1"/>
  <c r="K102" i="15"/>
  <c r="L102" i="15"/>
  <c r="N102" i="15"/>
  <c r="O102" i="15"/>
  <c r="O101" i="15" s="1"/>
  <c r="M103" i="15"/>
  <c r="H103" i="15" s="1"/>
  <c r="M104" i="15"/>
  <c r="H104" i="15" s="1"/>
  <c r="M105" i="15"/>
  <c r="H105" i="15" s="1"/>
  <c r="M106" i="15"/>
  <c r="H106" i="15" s="1"/>
  <c r="M107" i="15"/>
  <c r="H107" i="15" s="1"/>
  <c r="M108" i="15"/>
  <c r="H108" i="15" s="1"/>
  <c r="M109" i="15"/>
  <c r="H109" i="15" s="1"/>
  <c r="M110" i="15"/>
  <c r="H110" i="15" s="1"/>
  <c r="M111" i="15"/>
  <c r="H111" i="15" s="1"/>
  <c r="M112" i="15"/>
  <c r="H112" i="15" s="1"/>
  <c r="M113" i="15"/>
  <c r="H113" i="15" s="1"/>
  <c r="M115" i="15"/>
  <c r="H115" i="15" s="1"/>
  <c r="M116" i="15"/>
  <c r="H116" i="15" s="1"/>
  <c r="M117" i="15"/>
  <c r="H117" i="15" s="1"/>
  <c r="M118" i="15"/>
  <c r="H118" i="15" s="1"/>
  <c r="M119" i="15"/>
  <c r="H119" i="15" s="1"/>
  <c r="M120" i="15"/>
  <c r="H120" i="15" s="1"/>
  <c r="M121" i="15"/>
  <c r="H121" i="15" s="1"/>
  <c r="M122" i="15"/>
  <c r="H122" i="15" s="1"/>
  <c r="M123" i="15"/>
  <c r="H123" i="15" s="1"/>
  <c r="M124" i="15"/>
  <c r="H124" i="15" s="1"/>
  <c r="M125" i="15"/>
  <c r="H125" i="15" s="1"/>
  <c r="J103" i="15"/>
  <c r="G103" i="15" s="1"/>
  <c r="J104" i="15"/>
  <c r="G104" i="15" s="1"/>
  <c r="J105" i="15"/>
  <c r="J106" i="15"/>
  <c r="J107" i="15"/>
  <c r="G107" i="15" s="1"/>
  <c r="J108" i="15"/>
  <c r="J109" i="15"/>
  <c r="J110" i="15"/>
  <c r="G110" i="15" s="1"/>
  <c r="J111" i="15"/>
  <c r="G111" i="15" s="1"/>
  <c r="J112" i="15"/>
  <c r="G112" i="15" s="1"/>
  <c r="J113" i="15"/>
  <c r="J115" i="15"/>
  <c r="G115" i="15" s="1"/>
  <c r="J116" i="15"/>
  <c r="G116" i="15" s="1"/>
  <c r="J117" i="15"/>
  <c r="J118" i="15"/>
  <c r="G118" i="15" s="1"/>
  <c r="J119" i="15"/>
  <c r="G119" i="15" s="1"/>
  <c r="J120" i="15"/>
  <c r="G120" i="15" s="1"/>
  <c r="J121" i="15"/>
  <c r="J122" i="15"/>
  <c r="J123" i="15"/>
  <c r="G123" i="15" s="1"/>
  <c r="J124" i="15"/>
  <c r="J125" i="15"/>
  <c r="C103" i="15"/>
  <c r="C104" i="15"/>
  <c r="C105" i="15"/>
  <c r="C106" i="15"/>
  <c r="C107" i="15"/>
  <c r="C108" i="15"/>
  <c r="C109" i="15"/>
  <c r="C110" i="15"/>
  <c r="C111" i="15"/>
  <c r="C112" i="15"/>
  <c r="C113" i="15"/>
  <c r="C115" i="15"/>
  <c r="C116" i="15"/>
  <c r="C117" i="15"/>
  <c r="C118" i="15"/>
  <c r="C119" i="15"/>
  <c r="C120" i="15"/>
  <c r="C121" i="15"/>
  <c r="C122" i="15"/>
  <c r="C123" i="15"/>
  <c r="C124" i="15"/>
  <c r="C125" i="15"/>
  <c r="D96" i="15"/>
  <c r="E96" i="15"/>
  <c r="K96" i="15"/>
  <c r="L96" i="15"/>
  <c r="N96" i="15"/>
  <c r="O96" i="15"/>
  <c r="M98" i="15"/>
  <c r="I98" i="15" s="1"/>
  <c r="G98" i="15"/>
  <c r="C98" i="15"/>
  <c r="D146" i="15"/>
  <c r="E146" i="15"/>
  <c r="K146" i="15"/>
  <c r="L146" i="15"/>
  <c r="N146" i="15"/>
  <c r="O146" i="15"/>
  <c r="D126" i="15"/>
  <c r="E126" i="15"/>
  <c r="K126" i="15"/>
  <c r="L126" i="15"/>
  <c r="N126" i="15"/>
  <c r="O126" i="15"/>
  <c r="C100" i="15"/>
  <c r="C97" i="15"/>
  <c r="D99" i="15"/>
  <c r="E99" i="15"/>
  <c r="K99" i="15"/>
  <c r="L99" i="15"/>
  <c r="N99" i="15"/>
  <c r="O99" i="15"/>
  <c r="J100" i="15"/>
  <c r="G100" i="15" s="1"/>
  <c r="M100" i="15"/>
  <c r="H100" i="15" s="1"/>
  <c r="H99" i="15" s="1"/>
  <c r="C99" i="15"/>
  <c r="E83" i="15"/>
  <c r="D83" i="15"/>
  <c r="K83" i="15"/>
  <c r="L83" i="15"/>
  <c r="N83" i="15"/>
  <c r="O83" i="15"/>
  <c r="D81" i="15"/>
  <c r="E81" i="15"/>
  <c r="K81" i="15"/>
  <c r="L81" i="15"/>
  <c r="N81" i="15"/>
  <c r="O81" i="15"/>
  <c r="D77" i="15"/>
  <c r="E77" i="15"/>
  <c r="K77" i="15"/>
  <c r="L77" i="15"/>
  <c r="N77" i="15"/>
  <c r="O77" i="15"/>
  <c r="D79" i="15"/>
  <c r="E79" i="15"/>
  <c r="K79" i="15"/>
  <c r="L79" i="15"/>
  <c r="N79" i="15"/>
  <c r="O79" i="15"/>
  <c r="D75" i="15"/>
  <c r="E75" i="15"/>
  <c r="K75" i="15"/>
  <c r="L75" i="15"/>
  <c r="N75" i="15"/>
  <c r="O75" i="15"/>
  <c r="D73" i="15"/>
  <c r="E73" i="15"/>
  <c r="K73" i="15"/>
  <c r="L73" i="15"/>
  <c r="N73" i="15"/>
  <c r="O73" i="15"/>
  <c r="M74" i="15"/>
  <c r="H74" i="15" s="1"/>
  <c r="M76" i="15"/>
  <c r="M75" i="15" s="1"/>
  <c r="M78" i="15"/>
  <c r="H78" i="15" s="1"/>
  <c r="M80" i="15"/>
  <c r="M79" i="15" s="1"/>
  <c r="M82" i="15"/>
  <c r="H82" i="15" s="1"/>
  <c r="M84" i="15"/>
  <c r="H84" i="15" s="1"/>
  <c r="M85" i="15"/>
  <c r="H85" i="15" s="1"/>
  <c r="M86" i="15"/>
  <c r="H86" i="15" s="1"/>
  <c r="M87" i="15"/>
  <c r="H87" i="15" s="1"/>
  <c r="M88" i="15"/>
  <c r="H88" i="15" s="1"/>
  <c r="M89" i="15"/>
  <c r="H89" i="15" s="1"/>
  <c r="M90" i="15"/>
  <c r="H90" i="15" s="1"/>
  <c r="M91" i="15"/>
  <c r="H91" i="15" s="1"/>
  <c r="M92" i="15"/>
  <c r="H92" i="15" s="1"/>
  <c r="M93" i="15"/>
  <c r="H93" i="15" s="1"/>
  <c r="M94" i="15"/>
  <c r="H94" i="15" s="1"/>
  <c r="M97" i="15"/>
  <c r="H97" i="15" s="1"/>
  <c r="M127" i="15"/>
  <c r="H127" i="15" s="1"/>
  <c r="M128" i="15"/>
  <c r="H128" i="15" s="1"/>
  <c r="M129" i="15"/>
  <c r="H129" i="15" s="1"/>
  <c r="M130" i="15"/>
  <c r="H130" i="15" s="1"/>
  <c r="M131" i="15"/>
  <c r="H131" i="15" s="1"/>
  <c r="M132" i="15"/>
  <c r="H132" i="15" s="1"/>
  <c r="M133" i="15"/>
  <c r="H133" i="15" s="1"/>
  <c r="M134" i="15"/>
  <c r="H134" i="15" s="1"/>
  <c r="M135" i="15"/>
  <c r="H135" i="15" s="1"/>
  <c r="M136" i="15"/>
  <c r="H136" i="15" s="1"/>
  <c r="M137" i="15"/>
  <c r="H137" i="15" s="1"/>
  <c r="M139" i="15"/>
  <c r="H139" i="15" s="1"/>
  <c r="M147" i="15"/>
  <c r="M146" i="15" s="1"/>
  <c r="M153" i="15"/>
  <c r="H153" i="15" s="1"/>
  <c r="J74" i="15"/>
  <c r="G74" i="15" s="1"/>
  <c r="G73" i="15" s="1"/>
  <c r="J76" i="15"/>
  <c r="J75" i="15" s="1"/>
  <c r="J78" i="15"/>
  <c r="J77" i="15" s="1"/>
  <c r="J80" i="15"/>
  <c r="J79" i="15" s="1"/>
  <c r="J82" i="15"/>
  <c r="J81" i="15" s="1"/>
  <c r="J84" i="15"/>
  <c r="G84" i="15" s="1"/>
  <c r="J85" i="15"/>
  <c r="G85" i="15" s="1"/>
  <c r="J86" i="15"/>
  <c r="J87" i="15"/>
  <c r="G87" i="15" s="1"/>
  <c r="J88" i="15"/>
  <c r="G88" i="15" s="1"/>
  <c r="J89" i="15"/>
  <c r="G89" i="15" s="1"/>
  <c r="J90" i="15"/>
  <c r="J91" i="15"/>
  <c r="G91" i="15" s="1"/>
  <c r="J92" i="15"/>
  <c r="G92" i="15" s="1"/>
  <c r="J93" i="15"/>
  <c r="J94" i="15"/>
  <c r="J127" i="15"/>
  <c r="J128" i="15"/>
  <c r="G128" i="15" s="1"/>
  <c r="J129" i="15"/>
  <c r="J130" i="15"/>
  <c r="G130" i="15" s="1"/>
  <c r="J131" i="15"/>
  <c r="G131" i="15" s="1"/>
  <c r="J132" i="15"/>
  <c r="G132" i="15" s="1"/>
  <c r="J133" i="15"/>
  <c r="J134" i="15"/>
  <c r="G134" i="15" s="1"/>
  <c r="J135" i="15"/>
  <c r="G135" i="15" s="1"/>
  <c r="J136" i="15"/>
  <c r="G136" i="15" s="1"/>
  <c r="J137" i="15"/>
  <c r="J139" i="15"/>
  <c r="J147" i="15"/>
  <c r="J153" i="15"/>
  <c r="G153" i="15" s="1"/>
  <c r="J72" i="15"/>
  <c r="C74" i="15"/>
  <c r="C73" i="15" s="1"/>
  <c r="C76" i="15"/>
  <c r="C75" i="15" s="1"/>
  <c r="C78" i="15"/>
  <c r="C77" i="15" s="1"/>
  <c r="C80" i="15"/>
  <c r="C79" i="15" s="1"/>
  <c r="C82" i="15"/>
  <c r="C81" i="15" s="1"/>
  <c r="C84" i="15"/>
  <c r="C85" i="15"/>
  <c r="C86" i="15"/>
  <c r="C87" i="15"/>
  <c r="C88" i="15"/>
  <c r="C89" i="15"/>
  <c r="C90" i="15"/>
  <c r="C91" i="15"/>
  <c r="C92" i="15"/>
  <c r="C93" i="15"/>
  <c r="C94" i="15"/>
  <c r="C128" i="15"/>
  <c r="C129" i="15"/>
  <c r="C130" i="15"/>
  <c r="C131" i="15"/>
  <c r="C132" i="15"/>
  <c r="C133" i="15"/>
  <c r="C134" i="15"/>
  <c r="C135" i="15"/>
  <c r="C136" i="15"/>
  <c r="C137" i="15"/>
  <c r="C139" i="15"/>
  <c r="D61" i="15"/>
  <c r="E61" i="15"/>
  <c r="K61" i="15"/>
  <c r="L61" i="15"/>
  <c r="N61" i="15"/>
  <c r="O61" i="15"/>
  <c r="M63" i="15"/>
  <c r="H63" i="15" s="1"/>
  <c r="M64" i="15"/>
  <c r="H64" i="15" s="1"/>
  <c r="M65" i="15"/>
  <c r="H65" i="15" s="1"/>
  <c r="M66" i="15"/>
  <c r="M67" i="15"/>
  <c r="H67" i="15" s="1"/>
  <c r="M68" i="15"/>
  <c r="H68" i="15" s="1"/>
  <c r="M69" i="15"/>
  <c r="H69" i="15" s="1"/>
  <c r="M70" i="15"/>
  <c r="H70" i="15" s="1"/>
  <c r="M71" i="15"/>
  <c r="H71" i="15" s="1"/>
  <c r="M72" i="15"/>
  <c r="H72" i="15" s="1"/>
  <c r="M62" i="15"/>
  <c r="H62" i="15" s="1"/>
  <c r="M49" i="15"/>
  <c r="H49" i="15" s="1"/>
  <c r="M50" i="15"/>
  <c r="H50" i="15" s="1"/>
  <c r="M51" i="15"/>
  <c r="H51" i="15" s="1"/>
  <c r="M52" i="15"/>
  <c r="H52" i="15" s="1"/>
  <c r="M53" i="15"/>
  <c r="H53" i="15" s="1"/>
  <c r="M54" i="15"/>
  <c r="H54" i="15" s="1"/>
  <c r="M55" i="15"/>
  <c r="H55" i="15" s="1"/>
  <c r="M56" i="15"/>
  <c r="H56" i="15" s="1"/>
  <c r="M57" i="15"/>
  <c r="H57" i="15" s="1"/>
  <c r="M58" i="15"/>
  <c r="H58" i="15" s="1"/>
  <c r="M59" i="15"/>
  <c r="H59" i="15" s="1"/>
  <c r="M48" i="15"/>
  <c r="H48" i="15" s="1"/>
  <c r="H39" i="15"/>
  <c r="H38" i="15" s="1"/>
  <c r="D47" i="15"/>
  <c r="E47" i="15"/>
  <c r="K47" i="15"/>
  <c r="L47" i="15"/>
  <c r="N47" i="15"/>
  <c r="O47" i="15"/>
  <c r="M46" i="15"/>
  <c r="H46" i="15" s="1"/>
  <c r="M45" i="15"/>
  <c r="H45" i="15" s="1"/>
  <c r="D44" i="15"/>
  <c r="E44" i="15"/>
  <c r="K44" i="15"/>
  <c r="L44" i="15"/>
  <c r="N44" i="15"/>
  <c r="O44" i="15"/>
  <c r="M42" i="15"/>
  <c r="M43" i="15"/>
  <c r="H43" i="15" s="1"/>
  <c r="M41" i="15"/>
  <c r="H41" i="15" s="1"/>
  <c r="M28" i="15"/>
  <c r="H28" i="15" s="1"/>
  <c r="M29" i="15"/>
  <c r="H29" i="15" s="1"/>
  <c r="M30" i="15"/>
  <c r="H30" i="15" s="1"/>
  <c r="M31" i="15"/>
  <c r="H31" i="15" s="1"/>
  <c r="M32" i="15"/>
  <c r="H32" i="15" s="1"/>
  <c r="M33" i="15"/>
  <c r="H33" i="15" s="1"/>
  <c r="M34" i="15"/>
  <c r="H34" i="15" s="1"/>
  <c r="M35" i="15"/>
  <c r="H35" i="15" s="1"/>
  <c r="M36" i="15"/>
  <c r="H36" i="15" s="1"/>
  <c r="M37" i="15"/>
  <c r="H37" i="15" s="1"/>
  <c r="M27" i="15"/>
  <c r="H27" i="15" s="1"/>
  <c r="M15" i="15"/>
  <c r="H15" i="15" s="1"/>
  <c r="M16" i="15"/>
  <c r="H16" i="15" s="1"/>
  <c r="M17" i="15"/>
  <c r="H17" i="15" s="1"/>
  <c r="M18" i="15"/>
  <c r="H18" i="15" s="1"/>
  <c r="M19" i="15"/>
  <c r="H19" i="15" s="1"/>
  <c r="M20" i="15"/>
  <c r="H20" i="15" s="1"/>
  <c r="M21" i="15"/>
  <c r="H21" i="15" s="1"/>
  <c r="M22" i="15"/>
  <c r="H22" i="15" s="1"/>
  <c r="M23" i="15"/>
  <c r="H23" i="15" s="1"/>
  <c r="M24" i="15"/>
  <c r="H24" i="15" s="1"/>
  <c r="M25" i="15"/>
  <c r="H25" i="15" s="1"/>
  <c r="M14" i="15"/>
  <c r="H14" i="15" s="1"/>
  <c r="J14" i="15"/>
  <c r="D40" i="15"/>
  <c r="E40" i="15"/>
  <c r="K40" i="15"/>
  <c r="L40" i="15"/>
  <c r="N40" i="15"/>
  <c r="O40" i="15"/>
  <c r="D38" i="15"/>
  <c r="E38" i="15"/>
  <c r="K38" i="15"/>
  <c r="L38" i="15"/>
  <c r="M38" i="15"/>
  <c r="N38" i="15"/>
  <c r="O38" i="15"/>
  <c r="D26" i="15"/>
  <c r="E26" i="15"/>
  <c r="K26" i="15"/>
  <c r="L26" i="15"/>
  <c r="N26" i="15"/>
  <c r="O26" i="15"/>
  <c r="D13" i="15"/>
  <c r="E13" i="15"/>
  <c r="K13" i="15"/>
  <c r="L13" i="15"/>
  <c r="N13" i="15"/>
  <c r="O13" i="15"/>
  <c r="C15" i="15"/>
  <c r="C16" i="15"/>
  <c r="C17" i="15"/>
  <c r="C18" i="15"/>
  <c r="C19" i="15"/>
  <c r="C20" i="15"/>
  <c r="C21" i="15"/>
  <c r="C22" i="15"/>
  <c r="C23" i="15"/>
  <c r="C24" i="15"/>
  <c r="C25" i="15"/>
  <c r="C27" i="15"/>
  <c r="C28" i="15"/>
  <c r="C29" i="15"/>
  <c r="C30" i="15"/>
  <c r="C31" i="15"/>
  <c r="C32" i="15"/>
  <c r="C33" i="15"/>
  <c r="C34" i="15"/>
  <c r="C35" i="15"/>
  <c r="C36" i="15"/>
  <c r="C37" i="15"/>
  <c r="C39" i="15"/>
  <c r="C38" i="15" s="1"/>
  <c r="C41" i="15"/>
  <c r="C42" i="15"/>
  <c r="C43" i="15"/>
  <c r="C45" i="15"/>
  <c r="C46" i="15"/>
  <c r="C48" i="15"/>
  <c r="C49" i="15"/>
  <c r="C50" i="15"/>
  <c r="C51" i="15"/>
  <c r="C52" i="15"/>
  <c r="C53" i="15"/>
  <c r="C54" i="15"/>
  <c r="C55" i="15"/>
  <c r="C56" i="15"/>
  <c r="C57" i="15"/>
  <c r="C58" i="15"/>
  <c r="C59" i="15"/>
  <c r="C62" i="15"/>
  <c r="C63" i="15"/>
  <c r="C64" i="15"/>
  <c r="C65" i="15"/>
  <c r="C66" i="15"/>
  <c r="C67" i="15"/>
  <c r="C68" i="15"/>
  <c r="C69" i="15"/>
  <c r="C70" i="15"/>
  <c r="C71" i="15"/>
  <c r="C72" i="15"/>
  <c r="C14" i="15"/>
  <c r="M150" i="15" l="1"/>
  <c r="L101" i="15"/>
  <c r="L95" i="15" s="1"/>
  <c r="H152" i="15"/>
  <c r="J152" i="15"/>
  <c r="G149" i="15"/>
  <c r="G148" i="15" s="1"/>
  <c r="M152" i="15"/>
  <c r="E95" i="15"/>
  <c r="K101" i="15"/>
  <c r="O95" i="15"/>
  <c r="K95" i="15"/>
  <c r="C96" i="15"/>
  <c r="I155" i="15"/>
  <c r="F156" i="15"/>
  <c r="I156" i="15"/>
  <c r="F154" i="15"/>
  <c r="H148" i="15"/>
  <c r="F151" i="15"/>
  <c r="I154" i="15"/>
  <c r="E60" i="15"/>
  <c r="N101" i="15"/>
  <c r="N95" i="15" s="1"/>
  <c r="D101" i="15"/>
  <c r="D95" i="15" s="1"/>
  <c r="F149" i="15"/>
  <c r="J148" i="15"/>
  <c r="I151" i="15"/>
  <c r="I150" i="15" s="1"/>
  <c r="G155" i="15"/>
  <c r="F155" i="15" s="1"/>
  <c r="K12" i="15"/>
  <c r="K11" i="15" s="1"/>
  <c r="I14" i="15"/>
  <c r="G82" i="15"/>
  <c r="G81" i="15" s="1"/>
  <c r="C138" i="15"/>
  <c r="I122" i="15"/>
  <c r="I113" i="15"/>
  <c r="I109" i="15"/>
  <c r="I105" i="15"/>
  <c r="G109" i="15"/>
  <c r="I144" i="15"/>
  <c r="I140" i="15"/>
  <c r="G76" i="15"/>
  <c r="G75" i="15" s="1"/>
  <c r="J138" i="15"/>
  <c r="G113" i="15"/>
  <c r="M138" i="15"/>
  <c r="H138" i="15"/>
  <c r="G144" i="15"/>
  <c r="I141" i="15"/>
  <c r="F145" i="15"/>
  <c r="F142" i="15"/>
  <c r="F141" i="15"/>
  <c r="I143" i="15"/>
  <c r="I142" i="15"/>
  <c r="I145" i="15"/>
  <c r="F143" i="15"/>
  <c r="G140" i="15"/>
  <c r="C102" i="15"/>
  <c r="I125" i="15"/>
  <c r="I121" i="15"/>
  <c r="I117" i="15"/>
  <c r="C114" i="15"/>
  <c r="C101" i="15" s="1"/>
  <c r="G121" i="15"/>
  <c r="J102" i="15"/>
  <c r="G105" i="15"/>
  <c r="H114" i="15"/>
  <c r="F123" i="15"/>
  <c r="G117" i="15"/>
  <c r="M114" i="15"/>
  <c r="G125" i="15"/>
  <c r="F119" i="15"/>
  <c r="I123" i="15"/>
  <c r="I119" i="15"/>
  <c r="I115" i="15"/>
  <c r="I110" i="15"/>
  <c r="I106" i="15"/>
  <c r="F115" i="15"/>
  <c r="J114" i="15"/>
  <c r="I111" i="15"/>
  <c r="I107" i="15"/>
  <c r="F107" i="15"/>
  <c r="I103" i="15"/>
  <c r="M102" i="15"/>
  <c r="H102" i="15"/>
  <c r="F111" i="15"/>
  <c r="F118" i="15"/>
  <c r="F103" i="15"/>
  <c r="F110" i="15"/>
  <c r="I124" i="15"/>
  <c r="I112" i="15"/>
  <c r="I108" i="15"/>
  <c r="G124" i="15"/>
  <c r="G122" i="15"/>
  <c r="F120" i="15"/>
  <c r="G108" i="15"/>
  <c r="G106" i="15"/>
  <c r="F104" i="15"/>
  <c r="I120" i="15"/>
  <c r="I118" i="15"/>
  <c r="I116" i="15"/>
  <c r="I104" i="15"/>
  <c r="F116" i="15"/>
  <c r="F112" i="15"/>
  <c r="O12" i="15"/>
  <c r="E12" i="15"/>
  <c r="E11" i="15" s="1"/>
  <c r="L12" i="15"/>
  <c r="N12" i="15"/>
  <c r="D12" i="15"/>
  <c r="F85" i="15"/>
  <c r="H147" i="15"/>
  <c r="F100" i="15"/>
  <c r="F99" i="15" s="1"/>
  <c r="I147" i="15"/>
  <c r="I146" i="15" s="1"/>
  <c r="J126" i="15"/>
  <c r="K60" i="15"/>
  <c r="H80" i="15"/>
  <c r="I94" i="15"/>
  <c r="J73" i="15"/>
  <c r="O60" i="15"/>
  <c r="C126" i="15"/>
  <c r="I90" i="15"/>
  <c r="I86" i="15"/>
  <c r="M77" i="15"/>
  <c r="J146" i="15"/>
  <c r="N60" i="15"/>
  <c r="I93" i="15"/>
  <c r="I85" i="15"/>
  <c r="L60" i="15"/>
  <c r="G127" i="15"/>
  <c r="G78" i="15"/>
  <c r="G77" i="15" s="1"/>
  <c r="H98" i="15"/>
  <c r="M96" i="15"/>
  <c r="F87" i="15"/>
  <c r="H126" i="15"/>
  <c r="D60" i="15"/>
  <c r="I137" i="15"/>
  <c r="I133" i="15"/>
  <c r="I129" i="15"/>
  <c r="F135" i="15"/>
  <c r="F131" i="15"/>
  <c r="G139" i="15"/>
  <c r="G90" i="15"/>
  <c r="F90" i="15" s="1"/>
  <c r="I136" i="15"/>
  <c r="I132" i="15"/>
  <c r="I128" i="15"/>
  <c r="J83" i="15"/>
  <c r="F91" i="15"/>
  <c r="M99" i="15"/>
  <c r="M126" i="15"/>
  <c r="F153" i="15"/>
  <c r="F134" i="15"/>
  <c r="G99" i="15"/>
  <c r="J99" i="15"/>
  <c r="J97" i="15"/>
  <c r="I100" i="15"/>
  <c r="I99" i="15" s="1"/>
  <c r="H73" i="15"/>
  <c r="H44" i="15"/>
  <c r="M40" i="15"/>
  <c r="G14" i="15"/>
  <c r="F14" i="15" s="1"/>
  <c r="H76" i="15"/>
  <c r="H75" i="15" s="1"/>
  <c r="M73" i="15"/>
  <c r="H77" i="15"/>
  <c r="M81" i="15"/>
  <c r="M44" i="15"/>
  <c r="G147" i="15"/>
  <c r="G137" i="15"/>
  <c r="G133" i="15"/>
  <c r="G129" i="15"/>
  <c r="G94" i="15"/>
  <c r="F94" i="15" s="1"/>
  <c r="G80" i="15"/>
  <c r="G79" i="15" s="1"/>
  <c r="I153" i="15"/>
  <c r="I139" i="15"/>
  <c r="I135" i="15"/>
  <c r="I131" i="15"/>
  <c r="I127" i="15"/>
  <c r="H81" i="15"/>
  <c r="C44" i="15"/>
  <c r="G93" i="15"/>
  <c r="F93" i="15" s="1"/>
  <c r="G86" i="15"/>
  <c r="F86" i="15" s="1"/>
  <c r="I74" i="15"/>
  <c r="I73" i="15" s="1"/>
  <c r="F89" i="15"/>
  <c r="F92" i="15"/>
  <c r="I89" i="15"/>
  <c r="M83" i="15"/>
  <c r="H83" i="15"/>
  <c r="I91" i="15"/>
  <c r="I87" i="15"/>
  <c r="C83" i="15"/>
  <c r="I82" i="15"/>
  <c r="I81" i="15" s="1"/>
  <c r="I78" i="15"/>
  <c r="I77" i="15" s="1"/>
  <c r="F130" i="15"/>
  <c r="F88" i="15"/>
  <c r="F84" i="15"/>
  <c r="I134" i="15"/>
  <c r="I130" i="15"/>
  <c r="I92" i="15"/>
  <c r="I88" i="15"/>
  <c r="I84" i="15"/>
  <c r="I80" i="15"/>
  <c r="I79" i="15" s="1"/>
  <c r="I76" i="15"/>
  <c r="I75" i="15" s="1"/>
  <c r="F136" i="15"/>
  <c r="F132" i="15"/>
  <c r="F128" i="15"/>
  <c r="F74" i="15"/>
  <c r="C61" i="15"/>
  <c r="M61" i="15"/>
  <c r="H13" i="15"/>
  <c r="H26" i="15"/>
  <c r="H42" i="15"/>
  <c r="M13" i="15"/>
  <c r="H66" i="15"/>
  <c r="H61" i="15" s="1"/>
  <c r="M26" i="15"/>
  <c r="C26" i="15"/>
  <c r="C13" i="15"/>
  <c r="H47" i="15"/>
  <c r="M47" i="15"/>
  <c r="C47" i="15"/>
  <c r="C40" i="15"/>
  <c r="O11" i="15" l="1"/>
  <c r="I152" i="15"/>
  <c r="F152" i="15"/>
  <c r="N11" i="15"/>
  <c r="D11" i="15"/>
  <c r="L11" i="15"/>
  <c r="F150" i="15"/>
  <c r="C95" i="15"/>
  <c r="G152" i="15"/>
  <c r="F82" i="15"/>
  <c r="F148" i="15"/>
  <c r="F113" i="15"/>
  <c r="J101" i="15"/>
  <c r="F109" i="15"/>
  <c r="F139" i="15"/>
  <c r="G138" i="15"/>
  <c r="F121" i="15"/>
  <c r="I138" i="15"/>
  <c r="F140" i="15"/>
  <c r="F117" i="15"/>
  <c r="F144" i="15"/>
  <c r="G102" i="15"/>
  <c r="F105" i="15"/>
  <c r="F125" i="15"/>
  <c r="I102" i="15"/>
  <c r="H101" i="15"/>
  <c r="I114" i="15"/>
  <c r="F108" i="15"/>
  <c r="M101" i="15"/>
  <c r="M95" i="15" s="1"/>
  <c r="F122" i="15"/>
  <c r="F106" i="15"/>
  <c r="F124" i="15"/>
  <c r="G114" i="15"/>
  <c r="H146" i="15"/>
  <c r="H79" i="15"/>
  <c r="F127" i="15"/>
  <c r="C60" i="15"/>
  <c r="I97" i="15"/>
  <c r="I96" i="15" s="1"/>
  <c r="J96" i="15"/>
  <c r="J95" i="15" s="1"/>
  <c r="F78" i="15"/>
  <c r="F77" i="15" s="1"/>
  <c r="F98" i="15"/>
  <c r="H96" i="15"/>
  <c r="F133" i="15"/>
  <c r="G126" i="15"/>
  <c r="M60" i="15"/>
  <c r="F137" i="15"/>
  <c r="F80" i="15"/>
  <c r="F147" i="15"/>
  <c r="G146" i="15"/>
  <c r="I126" i="15"/>
  <c r="F129" i="15"/>
  <c r="G97" i="15"/>
  <c r="F81" i="15"/>
  <c r="H40" i="15"/>
  <c r="G83" i="15"/>
  <c r="M12" i="15"/>
  <c r="F73" i="15"/>
  <c r="F76" i="15"/>
  <c r="F83" i="15"/>
  <c r="I83" i="15"/>
  <c r="C12" i="15"/>
  <c r="C11" i="15" s="1"/>
  <c r="M11" i="15" l="1"/>
  <c r="H95" i="15"/>
  <c r="I101" i="15"/>
  <c r="I95" i="15" s="1"/>
  <c r="F138" i="15"/>
  <c r="G101" i="15"/>
  <c r="H60" i="15"/>
  <c r="F102" i="15"/>
  <c r="F114" i="15"/>
  <c r="F79" i="15"/>
  <c r="H12" i="15"/>
  <c r="G96" i="15"/>
  <c r="F126" i="15"/>
  <c r="F146" i="15"/>
  <c r="F97" i="15"/>
  <c r="F96" i="15" s="1"/>
  <c r="F75" i="15"/>
  <c r="G95" i="15" l="1"/>
  <c r="H11" i="15"/>
  <c r="F101" i="15"/>
  <c r="F95" i="15" l="1"/>
  <c r="J15" i="15"/>
  <c r="J16" i="15"/>
  <c r="J17" i="15"/>
  <c r="J18" i="15"/>
  <c r="J19" i="15"/>
  <c r="J20" i="15"/>
  <c r="J21" i="15"/>
  <c r="J22" i="15"/>
  <c r="J23" i="15"/>
  <c r="J24" i="15"/>
  <c r="J25" i="15"/>
  <c r="J27" i="15"/>
  <c r="J28" i="15"/>
  <c r="J29" i="15"/>
  <c r="J30" i="15"/>
  <c r="J31" i="15"/>
  <c r="I31" i="15" s="1"/>
  <c r="G31" i="15" s="1"/>
  <c r="J32" i="15"/>
  <c r="I32" i="15" s="1"/>
  <c r="G32" i="15" s="1"/>
  <c r="F32" i="15" s="1"/>
  <c r="J33" i="15"/>
  <c r="I33" i="15" s="1"/>
  <c r="G33" i="15" s="1"/>
  <c r="J34" i="15"/>
  <c r="I34" i="15" s="1"/>
  <c r="G34" i="15" s="1"/>
  <c r="J35" i="15"/>
  <c r="I35" i="15" s="1"/>
  <c r="G35" i="15" s="1"/>
  <c r="J36" i="15"/>
  <c r="I36" i="15" s="1"/>
  <c r="G36" i="15" s="1"/>
  <c r="J37" i="15"/>
  <c r="I37" i="15" s="1"/>
  <c r="G37" i="15" s="1"/>
  <c r="J39" i="15"/>
  <c r="J41" i="15"/>
  <c r="J42" i="15"/>
  <c r="J43" i="15"/>
  <c r="J45" i="15"/>
  <c r="J46" i="15"/>
  <c r="J48" i="15"/>
  <c r="J49" i="15"/>
  <c r="J50" i="15"/>
  <c r="J51" i="15"/>
  <c r="J52" i="15"/>
  <c r="J53" i="15"/>
  <c r="J54" i="15"/>
  <c r="J55" i="15"/>
  <c r="J56" i="15"/>
  <c r="J57" i="15"/>
  <c r="J58" i="15"/>
  <c r="J59" i="15"/>
  <c r="J62" i="15"/>
  <c r="J63" i="15"/>
  <c r="J64" i="15"/>
  <c r="J65" i="15"/>
  <c r="J66" i="15"/>
  <c r="J67" i="15"/>
  <c r="J68" i="15"/>
  <c r="J69" i="15"/>
  <c r="J70" i="15"/>
  <c r="J71" i="15"/>
  <c r="F62" i="15"/>
  <c r="F36" i="15" l="1"/>
  <c r="F34" i="15"/>
  <c r="F33" i="15"/>
  <c r="I69" i="15"/>
  <c r="G69" i="15"/>
  <c r="I65" i="15"/>
  <c r="G65" i="15"/>
  <c r="F37" i="15"/>
  <c r="I72" i="15"/>
  <c r="G72" i="15"/>
  <c r="I68" i="15"/>
  <c r="G68" i="15"/>
  <c r="I64" i="15"/>
  <c r="G64" i="15"/>
  <c r="I71" i="15"/>
  <c r="G71" i="15"/>
  <c r="I67" i="15"/>
  <c r="G67" i="15"/>
  <c r="I63" i="15"/>
  <c r="G63" i="15"/>
  <c r="I70" i="15"/>
  <c r="G70" i="15"/>
  <c r="I66" i="15"/>
  <c r="G66" i="15"/>
  <c r="I62" i="15"/>
  <c r="J61" i="15"/>
  <c r="J60" i="15" s="1"/>
  <c r="I58" i="15"/>
  <c r="G58" i="15"/>
  <c r="I54" i="15"/>
  <c r="G54" i="15"/>
  <c r="I50" i="15"/>
  <c r="G50" i="15"/>
  <c r="I45" i="15"/>
  <c r="G45" i="15"/>
  <c r="J44" i="15"/>
  <c r="I39" i="15"/>
  <c r="J38" i="15"/>
  <c r="I30" i="15"/>
  <c r="G30" i="15"/>
  <c r="I25" i="15"/>
  <c r="G25" i="15"/>
  <c r="I21" i="15"/>
  <c r="G21" i="15"/>
  <c r="I17" i="15"/>
  <c r="G17" i="15"/>
  <c r="I59" i="15"/>
  <c r="G59" i="15"/>
  <c r="I55" i="15"/>
  <c r="G55" i="15"/>
  <c r="I51" i="15"/>
  <c r="G51" i="15"/>
  <c r="I46" i="15"/>
  <c r="G46" i="15"/>
  <c r="I41" i="15"/>
  <c r="G41" i="15"/>
  <c r="J40" i="15"/>
  <c r="I27" i="15"/>
  <c r="J26" i="15"/>
  <c r="I18" i="15"/>
  <c r="G18" i="15"/>
  <c r="I57" i="15"/>
  <c r="G57" i="15"/>
  <c r="I53" i="15"/>
  <c r="G53" i="15"/>
  <c r="I49" i="15"/>
  <c r="G49" i="15"/>
  <c r="I43" i="15"/>
  <c r="G43" i="15"/>
  <c r="I29" i="15"/>
  <c r="G29" i="15"/>
  <c r="I24" i="15"/>
  <c r="G24" i="15"/>
  <c r="I20" i="15"/>
  <c r="G20" i="15"/>
  <c r="I16" i="15"/>
  <c r="G16" i="15"/>
  <c r="I22" i="15"/>
  <c r="G22" i="15"/>
  <c r="F35" i="15"/>
  <c r="F31" i="15"/>
  <c r="I56" i="15"/>
  <c r="G56" i="15"/>
  <c r="I52" i="15"/>
  <c r="G52" i="15"/>
  <c r="I48" i="15"/>
  <c r="G48" i="15"/>
  <c r="J47" i="15"/>
  <c r="I42" i="15"/>
  <c r="G42" i="15"/>
  <c r="I28" i="15"/>
  <c r="G28" i="15"/>
  <c r="I23" i="15"/>
  <c r="G23" i="15"/>
  <c r="I19" i="15"/>
  <c r="G19" i="15"/>
  <c r="I15" i="15"/>
  <c r="G15" i="15"/>
  <c r="J13" i="15"/>
  <c r="I47" i="15" l="1"/>
  <c r="I44" i="15"/>
  <c r="I13" i="15"/>
  <c r="F65" i="15"/>
  <c r="I40" i="15"/>
  <c r="F70" i="15"/>
  <c r="F67" i="15"/>
  <c r="F64" i="15"/>
  <c r="F72" i="15"/>
  <c r="I61" i="15"/>
  <c r="I60" i="15" s="1"/>
  <c r="F69" i="15"/>
  <c r="F66" i="15"/>
  <c r="G61" i="15"/>
  <c r="F63" i="15"/>
  <c r="F71" i="15"/>
  <c r="F68" i="15"/>
  <c r="G13" i="15"/>
  <c r="F15" i="15"/>
  <c r="F42" i="15"/>
  <c r="F20" i="15"/>
  <c r="F49" i="15"/>
  <c r="F54" i="15"/>
  <c r="G47" i="15"/>
  <c r="F52" i="15"/>
  <c r="F46" i="15"/>
  <c r="F17" i="15"/>
  <c r="F25" i="15"/>
  <c r="F19" i="15"/>
  <c r="F28" i="15"/>
  <c r="F16" i="15"/>
  <c r="F24" i="15"/>
  <c r="F43" i="15"/>
  <c r="F53" i="15"/>
  <c r="F18" i="15"/>
  <c r="I38" i="15"/>
  <c r="G39" i="15"/>
  <c r="F50" i="15"/>
  <c r="F58" i="15"/>
  <c r="F23" i="15"/>
  <c r="F29" i="15"/>
  <c r="F57" i="15"/>
  <c r="G44" i="15"/>
  <c r="F45" i="15"/>
  <c r="I26" i="15"/>
  <c r="G27" i="15"/>
  <c r="F55" i="15"/>
  <c r="J12" i="15"/>
  <c r="J11" i="15" s="1"/>
  <c r="F48" i="15"/>
  <c r="F56" i="15"/>
  <c r="F22" i="15"/>
  <c r="G40" i="15"/>
  <c r="F41" i="15"/>
  <c r="F51" i="15"/>
  <c r="F59" i="15"/>
  <c r="F21" i="15"/>
  <c r="F30" i="15"/>
  <c r="G60" i="15" l="1"/>
  <c r="F40" i="15"/>
  <c r="F61" i="15"/>
  <c r="I12" i="15"/>
  <c r="I11" i="15" s="1"/>
  <c r="F27" i="15"/>
  <c r="F26" i="15" s="1"/>
  <c r="G26" i="15"/>
  <c r="F13" i="15"/>
  <c r="F47" i="15"/>
  <c r="F44" i="15"/>
  <c r="G38" i="15"/>
  <c r="F39" i="15"/>
  <c r="F38" i="15" s="1"/>
  <c r="F60" i="15" l="1"/>
  <c r="G12" i="15"/>
  <c r="G11" i="15" s="1"/>
  <c r="F12" i="15"/>
  <c r="F11" i="15" s="1"/>
  <c r="R60" i="8" l="1"/>
  <c r="C60" i="8"/>
  <c r="I60" i="8"/>
  <c r="P60" i="8" s="1"/>
  <c r="D10" i="8" l="1"/>
  <c r="G10" i="8"/>
  <c r="M10" i="8"/>
  <c r="O73" i="8"/>
  <c r="F72" i="8"/>
  <c r="F73" i="8"/>
  <c r="F74" i="8"/>
  <c r="F75" i="8"/>
  <c r="C75" i="8" s="1"/>
  <c r="F76" i="8"/>
  <c r="F77" i="8"/>
  <c r="F78" i="8"/>
  <c r="F79" i="8"/>
  <c r="F80" i="8"/>
  <c r="F81" i="8"/>
  <c r="F82" i="8"/>
  <c r="L72" i="8"/>
  <c r="I72" i="8" s="1"/>
  <c r="L73" i="8"/>
  <c r="I73" i="8" s="1"/>
  <c r="L74" i="8"/>
  <c r="I74" i="8" s="1"/>
  <c r="L75" i="8"/>
  <c r="I75" i="8" s="1"/>
  <c r="L76" i="8"/>
  <c r="I76" i="8" s="1"/>
  <c r="L77" i="8"/>
  <c r="I77" i="8" s="1"/>
  <c r="L78" i="8"/>
  <c r="I78" i="8" s="1"/>
  <c r="L79" i="8"/>
  <c r="I79" i="8" s="1"/>
  <c r="L80" i="8"/>
  <c r="L81" i="8"/>
  <c r="I81" i="8" s="1"/>
  <c r="L82" i="8"/>
  <c r="I82" i="8" s="1"/>
  <c r="I80" i="8"/>
  <c r="C81" i="8" l="1"/>
  <c r="P81" i="8" s="1"/>
  <c r="S81" i="8"/>
  <c r="C79" i="8"/>
  <c r="P79" i="8" s="1"/>
  <c r="S79" i="8"/>
  <c r="C80" i="8"/>
  <c r="P80" i="8" s="1"/>
  <c r="S80" i="8"/>
  <c r="C72" i="8"/>
  <c r="P72" i="8" s="1"/>
  <c r="S72" i="8"/>
  <c r="C78" i="8"/>
  <c r="P78" i="8" s="1"/>
  <c r="S78" i="8"/>
  <c r="C73" i="8"/>
  <c r="P73" i="8" s="1"/>
  <c r="S73" i="8"/>
  <c r="C77" i="8"/>
  <c r="P77" i="8" s="1"/>
  <c r="S77" i="8"/>
  <c r="S74" i="8"/>
  <c r="C74" i="8"/>
  <c r="P74" i="8" s="1"/>
  <c r="S82" i="8"/>
  <c r="P75" i="8"/>
  <c r="S75" i="8"/>
  <c r="C76" i="8"/>
  <c r="P76" i="8" s="1"/>
  <c r="S76" i="8"/>
  <c r="C82" i="8"/>
  <c r="P82" i="8" s="1"/>
  <c r="O51" i="8"/>
  <c r="K38" i="8"/>
  <c r="E38" i="8"/>
  <c r="U38" i="8"/>
  <c r="L38" i="8"/>
  <c r="F38" i="8"/>
  <c r="K35" i="8"/>
  <c r="K34" i="8"/>
  <c r="E35" i="8"/>
  <c r="E34" i="8"/>
  <c r="H34" i="8"/>
  <c r="U34" i="8" s="1"/>
  <c r="R33" i="8"/>
  <c r="C33" i="8"/>
  <c r="L33" i="8"/>
  <c r="I33" i="8" s="1"/>
  <c r="E27" i="8"/>
  <c r="N23" i="8"/>
  <c r="K23" i="8"/>
  <c r="H23" i="8"/>
  <c r="E23" i="8"/>
  <c r="E19" i="8"/>
  <c r="N18" i="8"/>
  <c r="L18" i="8" s="1"/>
  <c r="K18" i="8"/>
  <c r="H18" i="8"/>
  <c r="E18" i="8"/>
  <c r="K13" i="8"/>
  <c r="E13" i="8"/>
  <c r="U13" i="8"/>
  <c r="U27" i="8"/>
  <c r="T34" i="8"/>
  <c r="U35" i="8"/>
  <c r="T39" i="8"/>
  <c r="Q12" i="8"/>
  <c r="Q15" i="8"/>
  <c r="Q24" i="8"/>
  <c r="Q37" i="8"/>
  <c r="Q39" i="8"/>
  <c r="Q11" i="8"/>
  <c r="N12" i="8"/>
  <c r="K12" i="8"/>
  <c r="H12" i="8"/>
  <c r="E12" i="8"/>
  <c r="O11" i="8"/>
  <c r="L13" i="8"/>
  <c r="L14" i="8"/>
  <c r="L15" i="8"/>
  <c r="L16" i="8"/>
  <c r="L17" i="8"/>
  <c r="L19" i="8"/>
  <c r="L20" i="8"/>
  <c r="L21" i="8"/>
  <c r="L22" i="8"/>
  <c r="L23" i="8"/>
  <c r="L24" i="8"/>
  <c r="L25" i="8"/>
  <c r="L26" i="8"/>
  <c r="L27" i="8"/>
  <c r="L28" i="8"/>
  <c r="L29" i="8"/>
  <c r="L30" i="8"/>
  <c r="L31" i="8"/>
  <c r="L32" i="8"/>
  <c r="L34" i="8"/>
  <c r="L35" i="8"/>
  <c r="L36" i="8"/>
  <c r="L37" i="8"/>
  <c r="L39" i="8"/>
  <c r="L40" i="8"/>
  <c r="L41" i="8"/>
  <c r="L42" i="8"/>
  <c r="L43" i="8"/>
  <c r="L44" i="8"/>
  <c r="L45" i="8"/>
  <c r="L46" i="8"/>
  <c r="L47" i="8"/>
  <c r="L48" i="8"/>
  <c r="L49" i="8"/>
  <c r="L50" i="8"/>
  <c r="L51" i="8"/>
  <c r="L52" i="8"/>
  <c r="L53" i="8"/>
  <c r="L54" i="8"/>
  <c r="L55" i="8"/>
  <c r="L56" i="8"/>
  <c r="L57" i="8"/>
  <c r="L58" i="8"/>
  <c r="L59" i="8"/>
  <c r="L61" i="8"/>
  <c r="L62" i="8"/>
  <c r="L63" i="8"/>
  <c r="L64" i="8"/>
  <c r="L65" i="8"/>
  <c r="L66" i="8"/>
  <c r="L67" i="8"/>
  <c r="L68" i="8"/>
  <c r="L69" i="8"/>
  <c r="L70" i="8"/>
  <c r="L71" i="8"/>
  <c r="F46" i="8"/>
  <c r="F47" i="8"/>
  <c r="F48" i="8"/>
  <c r="F49" i="8"/>
  <c r="F50" i="8"/>
  <c r="F51" i="8"/>
  <c r="F52" i="8"/>
  <c r="F53" i="8"/>
  <c r="F54" i="8"/>
  <c r="F55" i="8"/>
  <c r="F56" i="8"/>
  <c r="F57" i="8"/>
  <c r="F58" i="8"/>
  <c r="F59" i="8"/>
  <c r="F61" i="8"/>
  <c r="F62" i="8"/>
  <c r="F63" i="8"/>
  <c r="F64" i="8"/>
  <c r="F65" i="8"/>
  <c r="F66" i="8"/>
  <c r="F67" i="8"/>
  <c r="F68" i="8"/>
  <c r="F69" i="8"/>
  <c r="F70" i="8"/>
  <c r="F71" i="8"/>
  <c r="F11" i="8"/>
  <c r="C11" i="8" s="1"/>
  <c r="O10" i="8" l="1"/>
  <c r="N10" i="8"/>
  <c r="C38" i="8"/>
  <c r="E10" i="8"/>
  <c r="U12" i="8"/>
  <c r="H10" i="8"/>
  <c r="R12" i="8"/>
  <c r="K10" i="8"/>
  <c r="P33" i="8"/>
  <c r="S38" i="8"/>
  <c r="I38" i="8"/>
  <c r="P38" i="8" s="1"/>
  <c r="R38" i="8"/>
  <c r="U23" i="8"/>
  <c r="U18" i="8"/>
  <c r="D22" i="2"/>
  <c r="J24" i="2"/>
  <c r="G44" i="7" l="1"/>
  <c r="G30" i="7" s="1"/>
  <c r="H44" i="7"/>
  <c r="G40" i="7"/>
  <c r="G39" i="7" s="1"/>
  <c r="H40" i="7"/>
  <c r="F46" i="7"/>
  <c r="F47" i="7"/>
  <c r="F45" i="7"/>
  <c r="F41" i="7"/>
  <c r="H39" i="7" l="1"/>
  <c r="F44" i="7"/>
  <c r="C41" i="7"/>
  <c r="C42" i="7"/>
  <c r="E39" i="7"/>
  <c r="D39" i="7"/>
  <c r="C39" i="7" s="1"/>
  <c r="C49" i="7"/>
  <c r="F32" i="6"/>
  <c r="F33" i="6"/>
  <c r="I21" i="2"/>
  <c r="E58" i="5"/>
  <c r="E59" i="5"/>
  <c r="E60" i="5"/>
  <c r="E61" i="5"/>
  <c r="E62" i="5"/>
  <c r="E63" i="5"/>
  <c r="E64" i="5"/>
  <c r="E65" i="5"/>
  <c r="E66" i="5"/>
  <c r="E67" i="5"/>
  <c r="E68" i="5"/>
  <c r="E69" i="5"/>
  <c r="E70" i="5"/>
  <c r="E71" i="5"/>
  <c r="E72" i="5"/>
  <c r="E73" i="5"/>
  <c r="E74" i="5"/>
  <c r="E75" i="5"/>
  <c r="E76" i="5"/>
  <c r="E77" i="5"/>
  <c r="E78" i="5"/>
  <c r="E79" i="5"/>
  <c r="E80" i="5"/>
  <c r="E81" i="5"/>
  <c r="E82" i="5"/>
  <c r="E83" i="5"/>
  <c r="E84" i="5"/>
  <c r="E87" i="5"/>
  <c r="E88" i="5"/>
  <c r="E89" i="5"/>
  <c r="E90" i="5"/>
  <c r="E91" i="5"/>
  <c r="E92" i="5"/>
  <c r="E93" i="5"/>
  <c r="E94" i="5"/>
  <c r="E95" i="5"/>
  <c r="E96" i="5"/>
  <c r="E97" i="5"/>
  <c r="E98" i="5"/>
  <c r="E99" i="5"/>
  <c r="E100" i="5"/>
  <c r="E101" i="5"/>
  <c r="E102" i="5"/>
  <c r="E103" i="5"/>
  <c r="E104" i="5"/>
  <c r="E105" i="5"/>
  <c r="E106" i="5"/>
  <c r="E107" i="5"/>
  <c r="E108" i="5"/>
  <c r="E109" i="5"/>
  <c r="E110" i="5"/>
  <c r="I23" i="2"/>
  <c r="K23" i="2" s="1"/>
  <c r="D10" i="5"/>
  <c r="C20" i="2" l="1"/>
  <c r="C56" i="5"/>
  <c r="D38" i="5"/>
  <c r="C38" i="5"/>
  <c r="D42" i="5"/>
  <c r="C42" i="5"/>
  <c r="D37" i="5" l="1"/>
  <c r="E12" i="13" l="1"/>
  <c r="E13" i="13"/>
  <c r="E14" i="13"/>
  <c r="E15" i="13"/>
  <c r="E16" i="13"/>
  <c r="E17" i="13"/>
  <c r="E18" i="13"/>
  <c r="E19" i="13"/>
  <c r="E20" i="13"/>
  <c r="E21" i="13"/>
  <c r="E22" i="13"/>
  <c r="K12" i="13"/>
  <c r="K13" i="13"/>
  <c r="K14" i="13"/>
  <c r="K15" i="13"/>
  <c r="K16" i="13"/>
  <c r="K17" i="13"/>
  <c r="K18" i="13"/>
  <c r="K19" i="13"/>
  <c r="K20" i="13"/>
  <c r="K21" i="13"/>
  <c r="K22" i="13"/>
  <c r="E14" i="18" l="1"/>
  <c r="E11" i="18"/>
  <c r="C10" i="18"/>
  <c r="E10" i="18" s="1"/>
  <c r="C33" i="2"/>
  <c r="H20" i="4"/>
  <c r="H19" i="4"/>
  <c r="G20" i="4"/>
  <c r="G19" i="4"/>
  <c r="F60" i="4"/>
  <c r="F61" i="4"/>
  <c r="F44" i="4"/>
  <c r="F45" i="4"/>
  <c r="F40" i="4"/>
  <c r="F41" i="4"/>
  <c r="F37" i="4"/>
  <c r="F35" i="4"/>
  <c r="F30" i="4"/>
  <c r="F39" i="4"/>
  <c r="F34" i="4"/>
  <c r="F28" i="4"/>
  <c r="F27" i="4"/>
  <c r="F26" i="4"/>
  <c r="F25" i="4"/>
  <c r="F20" i="4"/>
  <c r="F18" i="4"/>
  <c r="F14" i="4"/>
  <c r="F15" i="4"/>
  <c r="F13" i="4"/>
  <c r="E13" i="4"/>
  <c r="E15" i="4"/>
  <c r="D24" i="4"/>
  <c r="E21" i="2" l="1"/>
  <c r="E14" i="2"/>
  <c r="E11" i="2"/>
  <c r="E23" i="2"/>
  <c r="E24" i="2"/>
  <c r="E25" i="2"/>
  <c r="E26" i="2"/>
  <c r="E22" i="2"/>
  <c r="D31" i="2" l="1"/>
  <c r="C31" i="2"/>
  <c r="D28" i="2"/>
  <c r="E28" i="2" s="1"/>
  <c r="F28" i="2"/>
  <c r="C28" i="2"/>
  <c r="C27" i="2" l="1"/>
  <c r="C19" i="2" s="1"/>
  <c r="E31" i="2"/>
  <c r="F45" i="6" l="1"/>
  <c r="E45" i="6"/>
  <c r="E41" i="6"/>
  <c r="D28" i="6"/>
  <c r="F38" i="6"/>
  <c r="E42" i="6"/>
  <c r="F42" i="6"/>
  <c r="F41" i="6"/>
  <c r="F40" i="6"/>
  <c r="F37" i="6"/>
  <c r="F36" i="6"/>
  <c r="F35" i="6"/>
  <c r="F34" i="6"/>
  <c r="F31" i="6"/>
  <c r="F30" i="6"/>
  <c r="F29" i="6"/>
  <c r="F13" i="6"/>
  <c r="F23" i="6"/>
  <c r="D54" i="5"/>
  <c r="F12" i="8" l="1"/>
  <c r="D9" i="18"/>
  <c r="C9" i="18" l="1"/>
  <c r="F22" i="7" l="1"/>
  <c r="F36" i="7"/>
  <c r="F22" i="6"/>
  <c r="D27" i="2" l="1"/>
  <c r="P14" i="13" l="1"/>
  <c r="F49" i="7"/>
  <c r="F50" i="7"/>
  <c r="C54" i="5"/>
  <c r="E48" i="7"/>
  <c r="G48" i="7"/>
  <c r="G38" i="7" s="1"/>
  <c r="H48" i="7"/>
  <c r="H30" i="7" s="1"/>
  <c r="F30" i="7" s="1"/>
  <c r="D48" i="7"/>
  <c r="C50" i="7"/>
  <c r="C30" i="7"/>
  <c r="C48" i="7" l="1"/>
  <c r="C38" i="7" s="1"/>
  <c r="F39" i="6"/>
  <c r="C28" i="6"/>
  <c r="F48" i="7"/>
  <c r="E39" i="6"/>
  <c r="C32" i="7"/>
  <c r="C36" i="7"/>
  <c r="C15" i="7"/>
  <c r="F15" i="7"/>
  <c r="D57" i="5" l="1"/>
  <c r="C57" i="5"/>
  <c r="E57" i="5" l="1"/>
  <c r="C86" i="5"/>
  <c r="E86" i="5" s="1"/>
  <c r="C85" i="5" l="1"/>
  <c r="D85" i="5"/>
  <c r="E85" i="5" s="1"/>
  <c r="D20" i="2" l="1"/>
  <c r="A3" i="5"/>
  <c r="A3" i="6" s="1"/>
  <c r="A3" i="7" s="1"/>
  <c r="A4" i="8" s="1"/>
  <c r="A3" i="12" s="1"/>
  <c r="D19" i="2" l="1"/>
  <c r="A5" i="13"/>
  <c r="A3" i="15" s="1"/>
  <c r="A5" i="18" s="1"/>
  <c r="S22" i="13"/>
  <c r="P22" i="13"/>
  <c r="C22" i="13"/>
  <c r="P21" i="13"/>
  <c r="C21" i="13"/>
  <c r="S20" i="13"/>
  <c r="P20" i="13"/>
  <c r="I20" i="13"/>
  <c r="C20" i="13"/>
  <c r="S19" i="13"/>
  <c r="P19" i="13"/>
  <c r="I19" i="13"/>
  <c r="C19" i="13"/>
  <c r="S18" i="13"/>
  <c r="P18" i="13"/>
  <c r="C18" i="13"/>
  <c r="S17" i="13"/>
  <c r="P17" i="13"/>
  <c r="I17" i="13"/>
  <c r="C17" i="13"/>
  <c r="S16" i="13"/>
  <c r="P16" i="13"/>
  <c r="I16" i="13"/>
  <c r="C16" i="13"/>
  <c r="P15" i="13"/>
  <c r="C15" i="13"/>
  <c r="S14" i="13"/>
  <c r="C14" i="13"/>
  <c r="S13" i="13"/>
  <c r="P13" i="13"/>
  <c r="C13" i="13"/>
  <c r="P12" i="13"/>
  <c r="I12" i="13"/>
  <c r="C12" i="13"/>
  <c r="N11" i="13"/>
  <c r="M11" i="13"/>
  <c r="L11" i="13"/>
  <c r="J11" i="13"/>
  <c r="H11" i="13"/>
  <c r="G11" i="13"/>
  <c r="F11" i="13"/>
  <c r="D11" i="13"/>
  <c r="O43" i="12"/>
  <c r="W21" i="12"/>
  <c r="P21" i="12"/>
  <c r="J21" i="12"/>
  <c r="E21" i="12"/>
  <c r="C21" i="12" s="1"/>
  <c r="W20" i="12"/>
  <c r="P20" i="12"/>
  <c r="I20" i="12" s="1"/>
  <c r="E20" i="12"/>
  <c r="C20" i="12" s="1"/>
  <c r="P19" i="12"/>
  <c r="E19" i="12"/>
  <c r="C19" i="12" s="1"/>
  <c r="W18" i="12"/>
  <c r="P18" i="12"/>
  <c r="J18" i="12"/>
  <c r="E18" i="12"/>
  <c r="C18" i="12" s="1"/>
  <c r="P17" i="12"/>
  <c r="M17" i="12" s="1"/>
  <c r="W17" i="12" s="1"/>
  <c r="J17" i="12"/>
  <c r="E17" i="12"/>
  <c r="C17" i="12" s="1"/>
  <c r="W16" i="12"/>
  <c r="P16" i="12"/>
  <c r="J16" i="12"/>
  <c r="E16" i="12"/>
  <c r="C16" i="12" s="1"/>
  <c r="W15" i="12"/>
  <c r="P15" i="12"/>
  <c r="J15" i="12"/>
  <c r="E15" i="12"/>
  <c r="C15" i="12" s="1"/>
  <c r="W14" i="12"/>
  <c r="P14" i="12"/>
  <c r="J14" i="12"/>
  <c r="E14" i="12"/>
  <c r="C14" i="12" s="1"/>
  <c r="P13" i="12"/>
  <c r="M13" i="12" s="1"/>
  <c r="W13" i="12" s="1"/>
  <c r="J13" i="12"/>
  <c r="E13" i="12"/>
  <c r="C13" i="12" s="1"/>
  <c r="P12" i="12"/>
  <c r="M12" i="12" s="1"/>
  <c r="W12" i="12" s="1"/>
  <c r="J12" i="12"/>
  <c r="E12" i="12"/>
  <c r="C12" i="12" s="1"/>
  <c r="P11" i="12"/>
  <c r="M11" i="12" s="1"/>
  <c r="W11" i="12" s="1"/>
  <c r="J11" i="12"/>
  <c r="E11" i="12"/>
  <c r="T10" i="12"/>
  <c r="S10" i="12"/>
  <c r="R10" i="12"/>
  <c r="Q10" i="12"/>
  <c r="O10" i="12"/>
  <c r="N10" i="12"/>
  <c r="L10" i="12"/>
  <c r="K10" i="12"/>
  <c r="H10" i="12"/>
  <c r="G10" i="12"/>
  <c r="F10" i="12"/>
  <c r="D10" i="12"/>
  <c r="X6" i="12"/>
  <c r="M19" i="12" l="1"/>
  <c r="E10" i="12"/>
  <c r="C11" i="12"/>
  <c r="I21" i="12"/>
  <c r="I17" i="12"/>
  <c r="I16" i="12"/>
  <c r="U16" i="12" s="1"/>
  <c r="I15" i="12"/>
  <c r="I14" i="12"/>
  <c r="I12" i="12"/>
  <c r="I11" i="12"/>
  <c r="P11" i="13"/>
  <c r="J19" i="2"/>
  <c r="I13" i="12"/>
  <c r="U13" i="12" s="1"/>
  <c r="Q22" i="13"/>
  <c r="P10" i="12"/>
  <c r="I18" i="12"/>
  <c r="U18" i="12" s="1"/>
  <c r="U12" i="12"/>
  <c r="U21" i="12"/>
  <c r="U15" i="12"/>
  <c r="U17" i="12"/>
  <c r="C10" i="12"/>
  <c r="U20" i="12"/>
  <c r="Q16" i="13"/>
  <c r="S11" i="13"/>
  <c r="Q18" i="13"/>
  <c r="Q14" i="13"/>
  <c r="O17" i="13"/>
  <c r="O12" i="13"/>
  <c r="Q13" i="13"/>
  <c r="O20" i="13"/>
  <c r="I18" i="13"/>
  <c r="O18" i="13" s="1"/>
  <c r="Q19" i="13"/>
  <c r="I15" i="13"/>
  <c r="O15" i="13" s="1"/>
  <c r="I14" i="13"/>
  <c r="O14" i="13" s="1"/>
  <c r="I22" i="13"/>
  <c r="O22" i="13" s="1"/>
  <c r="Q20" i="13"/>
  <c r="O16" i="13"/>
  <c r="C11" i="13"/>
  <c r="O19" i="13"/>
  <c r="E11" i="13"/>
  <c r="I13" i="13"/>
  <c r="Q17" i="13"/>
  <c r="I21" i="13"/>
  <c r="O21" i="13" s="1"/>
  <c r="K11" i="13"/>
  <c r="J10" i="12"/>
  <c r="R71" i="8"/>
  <c r="I71" i="8"/>
  <c r="C71" i="8"/>
  <c r="R70" i="8"/>
  <c r="I70" i="8"/>
  <c r="C70" i="8"/>
  <c r="R69" i="8"/>
  <c r="I69" i="8"/>
  <c r="C69" i="8"/>
  <c r="R68" i="8"/>
  <c r="I68" i="8"/>
  <c r="C68" i="8"/>
  <c r="R67" i="8"/>
  <c r="I67" i="8"/>
  <c r="C67" i="8"/>
  <c r="R66" i="8"/>
  <c r="I66" i="8"/>
  <c r="C66" i="8"/>
  <c r="R65" i="8"/>
  <c r="I65" i="8"/>
  <c r="C65" i="8"/>
  <c r="R64" i="8"/>
  <c r="I64" i="8"/>
  <c r="C64" i="8"/>
  <c r="R63" i="8"/>
  <c r="I63" i="8"/>
  <c r="C63" i="8"/>
  <c r="R62" i="8"/>
  <c r="I62" i="8"/>
  <c r="C62" i="8"/>
  <c r="R61" i="8"/>
  <c r="I61" i="8"/>
  <c r="C61" i="8"/>
  <c r="R59" i="8"/>
  <c r="I59" i="8"/>
  <c r="C59" i="8"/>
  <c r="R58" i="8"/>
  <c r="I58" i="8"/>
  <c r="C58" i="8"/>
  <c r="R57" i="8"/>
  <c r="I57" i="8"/>
  <c r="C57" i="8"/>
  <c r="R56" i="8"/>
  <c r="I56" i="8"/>
  <c r="C56" i="8"/>
  <c r="R55" i="8"/>
  <c r="I55" i="8"/>
  <c r="C55" i="8"/>
  <c r="R54" i="8"/>
  <c r="I54" i="8"/>
  <c r="C54" i="8"/>
  <c r="R53" i="8"/>
  <c r="I53" i="8"/>
  <c r="C53" i="8"/>
  <c r="R52" i="8"/>
  <c r="I52" i="8"/>
  <c r="C52" i="8"/>
  <c r="R51" i="8"/>
  <c r="I51" i="8"/>
  <c r="C51" i="8"/>
  <c r="R50" i="8"/>
  <c r="I50" i="8"/>
  <c r="C50" i="8"/>
  <c r="R49" i="8"/>
  <c r="I49" i="8"/>
  <c r="C49" i="8"/>
  <c r="R48" i="8"/>
  <c r="I48" i="8"/>
  <c r="C48" i="8"/>
  <c r="R47" i="8"/>
  <c r="I47" i="8"/>
  <c r="C47" i="8"/>
  <c r="R46" i="8"/>
  <c r="I46" i="8"/>
  <c r="C46" i="8"/>
  <c r="R45" i="8"/>
  <c r="I45" i="8"/>
  <c r="F45" i="8"/>
  <c r="R44" i="8"/>
  <c r="I44" i="8"/>
  <c r="F44" i="8"/>
  <c r="R43" i="8"/>
  <c r="I43" i="8"/>
  <c r="F43" i="8"/>
  <c r="R42" i="8"/>
  <c r="I42" i="8"/>
  <c r="F42" i="8"/>
  <c r="R41" i="8"/>
  <c r="I41" i="8"/>
  <c r="F41" i="8"/>
  <c r="R40" i="8"/>
  <c r="I40" i="8"/>
  <c r="F40" i="8"/>
  <c r="R39" i="8"/>
  <c r="I39" i="8"/>
  <c r="F39" i="8"/>
  <c r="R37" i="8"/>
  <c r="I37" i="8"/>
  <c r="F37" i="8"/>
  <c r="R36" i="8"/>
  <c r="I36" i="8"/>
  <c r="F36" i="8"/>
  <c r="I35" i="8"/>
  <c r="F35" i="8"/>
  <c r="I34" i="8"/>
  <c r="F34" i="8"/>
  <c r="R32" i="8"/>
  <c r="I32" i="8"/>
  <c r="C32" i="8"/>
  <c r="R31" i="8"/>
  <c r="I31" i="8"/>
  <c r="C31" i="8"/>
  <c r="R30" i="8"/>
  <c r="I30" i="8"/>
  <c r="F30" i="8"/>
  <c r="R29" i="8"/>
  <c r="I29" i="8"/>
  <c r="F29" i="8"/>
  <c r="R28" i="8"/>
  <c r="I28" i="8"/>
  <c r="F28" i="8"/>
  <c r="R27" i="8"/>
  <c r="I27" i="8"/>
  <c r="F27" i="8"/>
  <c r="R26" i="8"/>
  <c r="I26" i="8"/>
  <c r="F26" i="8"/>
  <c r="R25" i="8"/>
  <c r="I25" i="8"/>
  <c r="F25" i="8"/>
  <c r="I24" i="8"/>
  <c r="R24" i="8"/>
  <c r="F24" i="8"/>
  <c r="R23" i="8"/>
  <c r="I23" i="8"/>
  <c r="F23" i="8"/>
  <c r="R22" i="8"/>
  <c r="I22" i="8"/>
  <c r="F22" i="8"/>
  <c r="R21" i="8"/>
  <c r="I21" i="8"/>
  <c r="F21" i="8"/>
  <c r="R20" i="8"/>
  <c r="F20" i="8"/>
  <c r="R19" i="8"/>
  <c r="I19" i="8"/>
  <c r="F19" i="8"/>
  <c r="R18" i="8"/>
  <c r="I18" i="8"/>
  <c r="F18" i="8"/>
  <c r="R17" i="8"/>
  <c r="I17" i="8"/>
  <c r="F17" i="8"/>
  <c r="R16" i="8"/>
  <c r="I16" i="8"/>
  <c r="F16" i="8"/>
  <c r="R15" i="8"/>
  <c r="I15" i="8"/>
  <c r="F15" i="8"/>
  <c r="R14" i="8"/>
  <c r="I14" i="8"/>
  <c r="F14" i="8"/>
  <c r="F13" i="8"/>
  <c r="R13" i="8"/>
  <c r="L12" i="8"/>
  <c r="S12" i="8" s="1"/>
  <c r="C12" i="8"/>
  <c r="R11" i="8"/>
  <c r="L11" i="8"/>
  <c r="F52" i="7"/>
  <c r="F51" i="7"/>
  <c r="F43" i="7"/>
  <c r="C43" i="7"/>
  <c r="F42" i="7"/>
  <c r="E38" i="7"/>
  <c r="F33" i="7"/>
  <c r="C33" i="7"/>
  <c r="F32" i="7"/>
  <c r="F29" i="7"/>
  <c r="C29" i="7"/>
  <c r="F28" i="7"/>
  <c r="C28" i="7"/>
  <c r="F27" i="7"/>
  <c r="C27" i="7"/>
  <c r="F26" i="7"/>
  <c r="C26" i="7"/>
  <c r="F25" i="7"/>
  <c r="C25" i="7"/>
  <c r="F24" i="7"/>
  <c r="C24" i="7"/>
  <c r="F23" i="7"/>
  <c r="C23" i="7"/>
  <c r="C22" i="7"/>
  <c r="F21" i="7"/>
  <c r="C21" i="7"/>
  <c r="F20" i="7"/>
  <c r="C20" i="7"/>
  <c r="F19" i="7"/>
  <c r="C19" i="7"/>
  <c r="F17" i="7"/>
  <c r="C17" i="7"/>
  <c r="F16" i="7"/>
  <c r="C16" i="7"/>
  <c r="F14" i="7"/>
  <c r="C14" i="7"/>
  <c r="F13" i="7"/>
  <c r="C13" i="7"/>
  <c r="F12" i="7"/>
  <c r="C12" i="7"/>
  <c r="H11" i="7"/>
  <c r="H10" i="7" s="1"/>
  <c r="H9" i="7" s="1"/>
  <c r="G11" i="7"/>
  <c r="E11" i="7"/>
  <c r="E10" i="7" s="1"/>
  <c r="E9" i="7" s="1"/>
  <c r="E40" i="6"/>
  <c r="E38" i="6"/>
  <c r="E37" i="6"/>
  <c r="E36" i="6"/>
  <c r="E35" i="6"/>
  <c r="E34" i="6"/>
  <c r="E33" i="6"/>
  <c r="E32" i="6"/>
  <c r="E31" i="6"/>
  <c r="E30" i="6"/>
  <c r="E29" i="6"/>
  <c r="F28" i="6"/>
  <c r="E23" i="6"/>
  <c r="E22" i="6"/>
  <c r="E21" i="6"/>
  <c r="E20" i="6"/>
  <c r="E19" i="6"/>
  <c r="E18" i="6"/>
  <c r="E17" i="6"/>
  <c r="E16" i="6"/>
  <c r="E15" i="6"/>
  <c r="E14" i="6"/>
  <c r="E13" i="6"/>
  <c r="D12" i="6"/>
  <c r="C12" i="6"/>
  <c r="F9" i="6"/>
  <c r="E9" i="6"/>
  <c r="D43" i="5"/>
  <c r="C43" i="5"/>
  <c r="C9" i="5"/>
  <c r="C8" i="5" s="1"/>
  <c r="H45" i="4"/>
  <c r="G45" i="4"/>
  <c r="G44" i="4"/>
  <c r="H41" i="4"/>
  <c r="G41" i="4"/>
  <c r="H40" i="4"/>
  <c r="G40" i="4"/>
  <c r="H37" i="4"/>
  <c r="G37" i="4"/>
  <c r="H35" i="4"/>
  <c r="G35" i="4"/>
  <c r="H34" i="4"/>
  <c r="G34" i="4"/>
  <c r="H33" i="4"/>
  <c r="G33" i="4"/>
  <c r="H32" i="4"/>
  <c r="G32" i="4"/>
  <c r="H30" i="4"/>
  <c r="G30" i="4"/>
  <c r="H28" i="4"/>
  <c r="G28" i="4"/>
  <c r="H26" i="4"/>
  <c r="G26" i="4"/>
  <c r="H25" i="4"/>
  <c r="G25" i="4"/>
  <c r="F24" i="4"/>
  <c r="E24" i="4"/>
  <c r="C24" i="4"/>
  <c r="F21" i="4"/>
  <c r="E21" i="4"/>
  <c r="D21" i="4"/>
  <c r="C21" i="4"/>
  <c r="F17" i="4"/>
  <c r="E17" i="4"/>
  <c r="D17" i="4"/>
  <c r="C17" i="4"/>
  <c r="F12" i="4"/>
  <c r="E12" i="4"/>
  <c r="D12" i="4"/>
  <c r="C12" i="4"/>
  <c r="E27" i="2"/>
  <c r="F22" i="2"/>
  <c r="F21" i="2"/>
  <c r="F14" i="2"/>
  <c r="F13" i="2"/>
  <c r="E13" i="2"/>
  <c r="D12" i="2"/>
  <c r="C12" i="2"/>
  <c r="F11" i="2"/>
  <c r="F10" i="2"/>
  <c r="E10" i="2"/>
  <c r="D9" i="2"/>
  <c r="C9" i="2"/>
  <c r="W19" i="12" l="1"/>
  <c r="M10" i="12"/>
  <c r="W10" i="12" s="1"/>
  <c r="I19" i="12"/>
  <c r="U19" i="12" s="1"/>
  <c r="S13" i="8"/>
  <c r="F10" i="8"/>
  <c r="I11" i="8"/>
  <c r="L10" i="8"/>
  <c r="C39" i="8"/>
  <c r="P39" i="8" s="1"/>
  <c r="S39" i="8"/>
  <c r="C43" i="8"/>
  <c r="P43" i="8" s="1"/>
  <c r="T10" i="8"/>
  <c r="C15" i="8"/>
  <c r="C22" i="8"/>
  <c r="P22" i="8" s="1"/>
  <c r="C26" i="8"/>
  <c r="P26" i="8" s="1"/>
  <c r="C30" i="8"/>
  <c r="C37" i="8"/>
  <c r="P37" i="8" s="1"/>
  <c r="C42" i="8"/>
  <c r="C16" i="8"/>
  <c r="P16" i="8" s="1"/>
  <c r="C14" i="8"/>
  <c r="P14" i="8" s="1"/>
  <c r="C21" i="8"/>
  <c r="C25" i="8"/>
  <c r="P25" i="8" s="1"/>
  <c r="C29" i="8"/>
  <c r="P29" i="8" s="1"/>
  <c r="C36" i="8"/>
  <c r="C41" i="8"/>
  <c r="C45" i="8"/>
  <c r="P45" i="8" s="1"/>
  <c r="U10" i="8"/>
  <c r="C17" i="8"/>
  <c r="C24" i="8"/>
  <c r="C28" i="8"/>
  <c r="C40" i="8"/>
  <c r="C44" i="8"/>
  <c r="C35" i="8"/>
  <c r="S35" i="8"/>
  <c r="C34" i="8"/>
  <c r="S34" i="8"/>
  <c r="C27" i="8"/>
  <c r="S27" i="8"/>
  <c r="C23" i="8"/>
  <c r="P23" i="8" s="1"/>
  <c r="S23" i="8"/>
  <c r="C19" i="8"/>
  <c r="C18" i="8"/>
  <c r="S18" i="8"/>
  <c r="F40" i="7"/>
  <c r="F39" i="7" s="1"/>
  <c r="F38" i="7" s="1"/>
  <c r="E28" i="6"/>
  <c r="F12" i="6"/>
  <c r="E11" i="4"/>
  <c r="D11" i="4"/>
  <c r="D10" i="4" s="1"/>
  <c r="D9" i="4" s="1"/>
  <c r="H24" i="4"/>
  <c r="D8" i="2"/>
  <c r="Q11" i="13"/>
  <c r="P55" i="8"/>
  <c r="Q10" i="8"/>
  <c r="P53" i="8"/>
  <c r="P51" i="8"/>
  <c r="P71" i="8"/>
  <c r="P32" i="8"/>
  <c r="P42" i="8"/>
  <c r="P63" i="8"/>
  <c r="P46" i="8"/>
  <c r="P50" i="8"/>
  <c r="P52" i="8"/>
  <c r="P15" i="8"/>
  <c r="P59" i="8"/>
  <c r="I13" i="8"/>
  <c r="P66" i="8"/>
  <c r="P54" i="8"/>
  <c r="P57" i="8"/>
  <c r="P65" i="8"/>
  <c r="P41" i="8"/>
  <c r="P56" i="8"/>
  <c r="P58" i="8"/>
  <c r="P64" i="8"/>
  <c r="P70" i="8"/>
  <c r="P62" i="8"/>
  <c r="P31" i="8"/>
  <c r="P67" i="8"/>
  <c r="P21" i="8"/>
  <c r="C20" i="8"/>
  <c r="P69" i="8"/>
  <c r="P48" i="8"/>
  <c r="P61" i="8"/>
  <c r="R35" i="8"/>
  <c r="P68" i="8"/>
  <c r="F11" i="7"/>
  <c r="G10" i="7"/>
  <c r="G9" i="7" s="1"/>
  <c r="G8" i="7" s="1"/>
  <c r="I10" i="12"/>
  <c r="U10" i="12" s="1"/>
  <c r="U11" i="12"/>
  <c r="U14" i="12"/>
  <c r="E8" i="7"/>
  <c r="C11" i="6"/>
  <c r="E12" i="6"/>
  <c r="C36" i="5"/>
  <c r="C7" i="5" s="1"/>
  <c r="D9" i="5"/>
  <c r="E10" i="4"/>
  <c r="E9" i="4" s="1"/>
  <c r="F11" i="4"/>
  <c r="H11" i="4" s="1"/>
  <c r="H17" i="4"/>
  <c r="G24" i="4"/>
  <c r="C11" i="4"/>
  <c r="C10" i="4" s="1"/>
  <c r="C9" i="4" s="1"/>
  <c r="G17" i="4"/>
  <c r="F27" i="2"/>
  <c r="E20" i="2"/>
  <c r="E12" i="2"/>
  <c r="F12" i="2"/>
  <c r="E9" i="2"/>
  <c r="C8" i="2"/>
  <c r="I11" i="13"/>
  <c r="O11" i="13" s="1"/>
  <c r="O13" i="13"/>
  <c r="P47" i="8"/>
  <c r="P49" i="8"/>
  <c r="I12" i="8"/>
  <c r="P12" i="8" s="1"/>
  <c r="C13" i="8"/>
  <c r="I20" i="8"/>
  <c r="R34" i="8"/>
  <c r="H38" i="7"/>
  <c r="H8" i="7" s="1"/>
  <c r="D38" i="7"/>
  <c r="D11" i="6"/>
  <c r="F9" i="2"/>
  <c r="F20" i="2"/>
  <c r="J8" i="2" l="1"/>
  <c r="D36" i="2"/>
  <c r="P35" i="8"/>
  <c r="P30" i="8"/>
  <c r="P36" i="8"/>
  <c r="P19" i="8"/>
  <c r="I10" i="8"/>
  <c r="C10" i="8"/>
  <c r="P28" i="8"/>
  <c r="P24" i="8"/>
  <c r="P40" i="8"/>
  <c r="P17" i="8"/>
  <c r="P27" i="8"/>
  <c r="P44" i="8"/>
  <c r="P18" i="8"/>
  <c r="P34" i="8"/>
  <c r="E8" i="2"/>
  <c r="N11" i="7"/>
  <c r="P20" i="8"/>
  <c r="D8" i="5"/>
  <c r="L10" i="7"/>
  <c r="S10" i="8"/>
  <c r="P13" i="8"/>
  <c r="F10" i="7"/>
  <c r="C10" i="6"/>
  <c r="E19" i="2"/>
  <c r="F10" i="4"/>
  <c r="F9" i="4" s="1"/>
  <c r="H9" i="4" s="1"/>
  <c r="G11" i="4"/>
  <c r="R10" i="8"/>
  <c r="P11" i="8"/>
  <c r="D10" i="7"/>
  <c r="D9" i="7" s="1"/>
  <c r="C11" i="7"/>
  <c r="D10" i="6"/>
  <c r="F11" i="6"/>
  <c r="E11" i="6"/>
  <c r="G10" i="4"/>
  <c r="G9" i="4"/>
  <c r="P10" i="8" l="1"/>
  <c r="F9" i="7"/>
  <c r="F8" i="7" s="1"/>
  <c r="M10" i="7"/>
  <c r="C8" i="6"/>
  <c r="H10" i="4"/>
  <c r="F19" i="2"/>
  <c r="C10" i="7"/>
  <c r="E10" i="6"/>
  <c r="D8" i="6"/>
  <c r="F10" i="6"/>
  <c r="D36" i="5"/>
  <c r="D7" i="5" s="1"/>
  <c r="H7" i="5" s="1"/>
  <c r="C9" i="7" l="1"/>
  <c r="M9" i="7" s="1"/>
  <c r="D8" i="7"/>
  <c r="E8" i="6"/>
  <c r="F8" i="6"/>
  <c r="C8" i="7" l="1"/>
  <c r="M8" i="7" s="1"/>
</calcChain>
</file>

<file path=xl/sharedStrings.xml><?xml version="1.0" encoding="utf-8"?>
<sst xmlns="http://schemas.openxmlformats.org/spreadsheetml/2006/main" count="1102" uniqueCount="518">
  <si>
    <t>STT</t>
  </si>
  <si>
    <t>Phụ biểu</t>
  </si>
  <si>
    <t>Nội dung</t>
  </si>
  <si>
    <t>I</t>
  </si>
  <si>
    <t xml:space="preserve">Biểu mẫu số 48 </t>
  </si>
  <si>
    <t xml:space="preserve">Biểu mẫu số 50  </t>
  </si>
  <si>
    <t xml:space="preserve">Biểu mẫu số 51 </t>
  </si>
  <si>
    <t xml:space="preserve">Biểu mẫu số 52  </t>
  </si>
  <si>
    <t>Biểu mẫu số 53</t>
  </si>
  <si>
    <t>Biểu mẫu số 54</t>
  </si>
  <si>
    <t xml:space="preserve">Biểu mẫu số 58 </t>
  </si>
  <si>
    <t xml:space="preserve">Biểu mẫu số 59 </t>
  </si>
  <si>
    <t>Biểu mẫu số 61</t>
  </si>
  <si>
    <t xml:space="preserve">Biểu mẫu số 64 </t>
  </si>
  <si>
    <t>Biểu mẫu số 48</t>
  </si>
  <si>
    <t>Đơn vị: Triệu đồng</t>
  </si>
  <si>
    <t>Nội dung (1)</t>
  </si>
  <si>
    <t>Dự toán</t>
  </si>
  <si>
    <t>Quyết toán</t>
  </si>
  <si>
    <t>So sánh</t>
  </si>
  <si>
    <t>Tuyệt đối</t>
  </si>
  <si>
    <t>Tương đối (%)</t>
  </si>
  <si>
    <t>A</t>
  </si>
  <si>
    <t>B</t>
  </si>
  <si>
    <t>3=2-1</t>
  </si>
  <si>
    <t>4=2/1</t>
  </si>
  <si>
    <t>TỔNG NGUỒN THU NSĐP</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</si>
  <si>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</si>
  <si>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</si>
  <si>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</si>
  <si>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</si>
  <si>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</si>
  <si>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</si>
  <si>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</si>
  <si>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</si>
  <si>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</si>
  <si>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Thu từ quỹ dự trữ tài chính</t>
  </si>
  <si>
    <t>IV</t>
  </si>
  <si>
    <t>Thu kết dư</t>
  </si>
  <si>
    <t>V</t>
  </si>
  <si>
    <t>Thu chuyển nguồn từ năm trước chuyển sang</t>
  </si>
  <si>
    <t>VI</t>
  </si>
  <si>
    <t>Thu từ ngân sách cấp dưới nộp lên</t>
  </si>
  <si>
    <t>TỔNG CHI NSĐP</t>
  </si>
  <si>
    <t xml:space="preserve">Tổng chi cân đối NSĐP </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</si>
  <si>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</si>
  <si>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</si>
  <si>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</si>
  <si>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</si>
  <si>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</si>
  <si>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</si>
  <si>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</si>
  <si>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</si>
  <si>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</si>
  <si>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</si>
  <si>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Chi nộp ngân sách cấp trên</t>
  </si>
  <si>
    <t>C</t>
  </si>
  <si>
    <t>BỘI CHI NSĐP/BỘI THU NSĐP/KẾT DƯ NSĐP</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</si>
  <si>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</si>
  <si>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</si>
  <si>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</si>
  <si>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</si>
  <si>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</si>
  <si>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</si>
  <si>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</si>
  <si>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</si>
  <si>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</si>
  <si>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</si>
  <si>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r>
      <t xml:space="preserve">Ghi chú: </t>
    </r>
    <r>
      <rPr>
        <i/>
        <sz val="12"/>
        <color indexed="8"/>
        <rFont val="Times New Roman"/>
        <family val="1"/>
      </rPr>
      <t>(1) Theo quy định tại Điều 7, Điều 11 và Điều 39 Luật NSNN, ngân sách huyện, xã không có nhiệm vụ chi nghiên cứu khoa học và công nghệ, trả lãi vay, chi bổ sung quỹ dự trữ tài chính, bội chi NSĐP, vay và trả nợ gốc vay.</t>
    </r>
  </si>
  <si>
    <t>So sánh (%)</t>
  </si>
  <si>
    <t>Biểu mẫu số 50</t>
  </si>
  <si>
    <t>Tổng thu NSNN</t>
  </si>
  <si>
    <t>Thu NSĐP</t>
  </si>
  <si>
    <t>5=3/1</t>
  </si>
  <si>
    <t>6=4/2</t>
  </si>
  <si>
    <t>TỔNG NGUỒN THU NSNN (A+B+C+D)</t>
  </si>
  <si>
    <t>TỔNG THU CÂN ĐỐI NSNN</t>
  </si>
  <si>
    <t>Thu nội địa</t>
  </si>
  <si>
    <t>Thu từ khu vực DNNN do trung ương quản lý (1)</t>
  </si>
  <si>
    <t>- Thuế GTGT</t>
  </si>
  <si>
    <t>- Thuế tài nguyên</t>
  </si>
  <si>
    <t>- Thuế thu nhập doanh nghiệp</t>
  </si>
  <si>
    <t>- Thu khác</t>
  </si>
  <si>
    <t>Thu từ khu vực DNNN do địa phương quản lý (2)</t>
  </si>
  <si>
    <t>Thu từ khu vực doanh nghiệp có vốn đầu tư nước ngoài (3)</t>
  </si>
  <si>
    <t>Thu từ khu vực kinh tế ngoài quốc doanh (4)</t>
  </si>
  <si>
    <t xml:space="preserve">   -Thuế giá trị gia tăng</t>
  </si>
  <si>
    <t xml:space="preserve">   -Thuế thu nhập doanh nghiệp</t>
  </si>
  <si>
    <t xml:space="preserve">   - Thuế TTĐB hàng hoá dịch vụ trong nước</t>
  </si>
  <si>
    <t xml:space="preserve">   - Thuế tài nguyên</t>
  </si>
  <si>
    <t xml:space="preserve">   - Thu khác</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</si>
  <si>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</si>
  <si>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</si>
  <si>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</si>
  <si>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</si>
  <si>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</si>
  <si>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</si>
  <si>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</si>
  <si>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do cơ quan nhà nước địa phương thu</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</si>
  <si>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</si>
  <si>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</si>
  <si>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</si>
  <si>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</si>
  <si>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</si>
  <si>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</si>
  <si>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</si>
  <si>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</si>
  <si>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</si>
  <si>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</si>
  <si>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</si>
  <si>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</si>
  <si>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</si>
  <si>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</si>
  <si>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</si>
  <si>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</si>
  <si>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</si>
  <si>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</si>
  <si>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</si>
  <si>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</si>
  <si>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viện trợ</t>
  </si>
  <si>
    <t>THU TỪ QUỸ DỰ TRỮ TÀI CHÍNH</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</si>
  <si>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</si>
  <si>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</si>
  <si>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</si>
  <si>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</si>
  <si>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</si>
  <si>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</si>
  <si>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</si>
  <si>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Biểu mẫu số 51</t>
  </si>
  <si>
    <t>3=2/1</t>
  </si>
  <si>
    <t>TỔNG CHI NGÂN SÁCH ĐỊA PHƯƠNG</t>
  </si>
  <si>
    <t>CHI CÂN ĐỐI NGÂN SÁCH ĐỊA PHƯƠNG</t>
  </si>
  <si>
    <t xml:space="preserve">Chi đầu tư cho các dự án </t>
  </si>
  <si>
    <t>Trong đó: Chia theo lĩnh vực</t>
  </si>
  <si>
    <t>1.1</t>
  </si>
  <si>
    <t>Chi quốc phòng</t>
  </si>
  <si>
    <t>1.2</t>
  </si>
  <si>
    <t>Chi an ninh và trật tự an toàn xã hội</t>
  </si>
  <si>
    <t>1.3</t>
  </si>
  <si>
    <t>Chi Giáo dục - đào tạo và dạy nghề</t>
  </si>
  <si>
    <t>1.4</t>
  </si>
  <si>
    <t>Chi Khoa học và công nghệ</t>
  </si>
  <si>
    <t>1.5</t>
  </si>
  <si>
    <t>Chi Y tế, dân số và gia đình</t>
  </si>
  <si>
    <t>1.6</t>
  </si>
  <si>
    <t>1.7</t>
  </si>
  <si>
    <t>Chi Phát thanh, truyền hình, thông tấn</t>
  </si>
  <si>
    <t>1.8</t>
  </si>
  <si>
    <t>Chi Thể dục thể thao</t>
  </si>
  <si>
    <t>1.9</t>
  </si>
  <si>
    <t>Chi Bảo vệ môi trường</t>
  </si>
  <si>
    <t>1.10</t>
  </si>
  <si>
    <t>Chi các hoạt động kinh tế</t>
  </si>
  <si>
    <t>1.11</t>
  </si>
  <si>
    <t>Chi hoạt động của các cơ quan quản lý nhà nước, đảng, đoàn thể</t>
  </si>
  <si>
    <t>1.12</t>
  </si>
  <si>
    <t>Chi Bảo đảm xã hội</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</si>
  <si>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</si>
  <si>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</si>
  <si>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</si>
  <si>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</si>
  <si>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</si>
  <si>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</si>
  <si>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</si>
  <si>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</si>
  <si>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CÁC CHƯƠNG TRÌNH MỤC TIÊU</t>
  </si>
  <si>
    <t>I.1</t>
  </si>
  <si>
    <t>Vốn đầu tư</t>
  </si>
  <si>
    <t>a</t>
  </si>
  <si>
    <t>Chương trình mục tiêu quốc gia giảm nghèo bền vững</t>
  </si>
  <si>
    <t>Chương trình 30a</t>
  </si>
  <si>
    <t>Chương trình 135</t>
  </si>
  <si>
    <t>b</t>
  </si>
  <si>
    <t>Chương trình MTQG xây dựng nông thôn mới</t>
  </si>
  <si>
    <t>I.2</t>
  </si>
  <si>
    <t>Vốn sự nghiệp</t>
  </si>
  <si>
    <t>Truyền thông và giảm nghèo về thông tin</t>
  </si>
  <si>
    <t xml:space="preserve">Nâng cao năng lực và giám sát, đánh giá </t>
  </si>
  <si>
    <t>c</t>
  </si>
  <si>
    <t>Chương trình mục tiêu giáo dục nghề nghiệp - Việc làm và an toàn lao động</t>
  </si>
  <si>
    <t>d</t>
  </si>
  <si>
    <t>Chương trình mục tiêu phát triển hệ thống trợ giúp xã hội</t>
  </si>
  <si>
    <t xml:space="preserve">Chi các chương trình mục tiêu, nhiệm vụ </t>
  </si>
  <si>
    <t xml:space="preserve">Hỗ trợ thực hiện chính sách đối với đối tượng bảo trợ XH theo nghị định 136,... </t>
  </si>
  <si>
    <t xml:space="preserve">Hỗ trợ tăng chi sự nghiệp môi trường </t>
  </si>
  <si>
    <t xml:space="preserve">Bổ sung tăng mức hỗ trợ kinh phí thăm chúc Tết Nguyên đán và thôn làng đón Tết </t>
  </si>
  <si>
    <t>Kinh phí thực hiện Đề án mạng lưới thú y</t>
  </si>
  <si>
    <t>Hỗ trợ chi thường xuyên khác ngân sách huyện chưa cân đối được nguồn (trừ SNGD-ĐT, KHCN và MT)</t>
  </si>
  <si>
    <t>Kinh phí thực hiện Cuộc vận động toàn dân xây dựng nông thôn mới, đô thị văn minh</t>
  </si>
  <si>
    <t>CHI NỘP NGÂN SÁCH CẤP TRÊN</t>
  </si>
  <si>
    <t>CHI CHUYỂN NGUỒN SANG NĂM SAU</t>
  </si>
  <si>
    <r>
      <t xml:space="preserve">Ghi chú: </t>
    </r>
    <r>
      <rPr>
        <i/>
        <sz val="12"/>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</si>
  <si>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Biểu mẫu số 52</t>
  </si>
  <si>
    <t>TỔNG CHI NGÂN SÁCH HUYỆN</t>
  </si>
  <si>
    <t>CHI BỔ SUNG CHO NGÂN SÁCH CẤP DƯỚI (1)</t>
  </si>
  <si>
    <t>CHI NGÂN SÁCH CẤP HUYỆN THEO LĨNH VỰC</t>
  </si>
  <si>
    <t xml:space="preserve">Chi đầu tư phát triển </t>
  </si>
  <si>
    <t>Chi đầu tư cho các dự án</t>
  </si>
  <si>
    <t>Chi y tế, dân số và gia đình</t>
  </si>
  <si>
    <t>Chi văn hóa thông tin</t>
  </si>
  <si>
    <t>Chi phát thanh, truyền hình, thông tấn</t>
  </si>
  <si>
    <t>Chi thể dục thể thao</t>
  </si>
  <si>
    <t>Chi bảo vệ môi trường</t>
  </si>
  <si>
    <t>Chi hoạt động của cơ quan quản lý nhà nước, đảng, đoàn thể</t>
  </si>
  <si>
    <t>Chi bảo đảm xã hội</t>
  </si>
  <si>
    <t>Chi đầu tư khác</t>
  </si>
  <si>
    <t>Chi Văn hóa thông tin</t>
  </si>
  <si>
    <t>Chi hoạt động của các cơ quan quản lý nhà nước, Đảng, Đoàn thể</t>
  </si>
  <si>
    <t xml:space="preserve">Chi khác </t>
  </si>
  <si>
    <t>Chi trả nợ lãi các khoản do chính quyền địa phương vay (2)</t>
  </si>
  <si>
    <t>Chi bổ sung quỹ dự trữ tài chính (2)</t>
  </si>
  <si>
    <t>CHI NỘP TRẢ NGÂN SÁCH CẤP TRÊN</t>
  </si>
  <si>
    <r>
      <t>Ghi chú:</t>
    </r>
    <r>
      <rPr>
        <i/>
        <sz val="12"/>
        <color indexed="8"/>
        <rFont val="Times New Roman"/>
        <family val="1"/>
      </rPr>
      <t xml:space="preserve"> </t>
    </r>
  </si>
  <si>
    <t>(1) Ngân sách xã không có nhiệm vụ chi bổ sung cân đối cho ngân sách cấp dưới.</t>
  </si>
  <si>
    <t>(2) Theo quy định tại Điều 7, Điều 11 và Điều 39 Luật NSNN, ngân sách huyện, xã không có nhiệm vụ chi nghiên cứu khoa học và công nghệ, chi trả lãi vay, chi bổ sung quỹ dự trữ tài chính.</t>
  </si>
  <si>
    <t>Bao gồm</t>
  </si>
  <si>
    <t>Ngân sách cấp huyện</t>
  </si>
  <si>
    <t>Ngân sách xã</t>
  </si>
  <si>
    <t>Ngân sách địa phương</t>
  </si>
  <si>
    <t>1=2+3</t>
  </si>
  <si>
    <t>4=5+6</t>
  </si>
  <si>
    <t>7=4/1</t>
  </si>
  <si>
    <t>8=5/2</t>
  </si>
  <si>
    <t>9=6/3</t>
  </si>
  <si>
    <t>CHI CÂN ĐỐI NSĐP</t>
  </si>
  <si>
    <t>Các cơ quan đơn vị</t>
  </si>
  <si>
    <t>Tổng số</t>
  </si>
  <si>
    <t>Chi đầu tư phát triển (Không kể CTMTQG</t>
  </si>
  <si>
    <t xml:space="preserve">Chi thường xuyên (không kể CTMTQG) </t>
  </si>
  <si>
    <t>Chi CTMTQG</t>
  </si>
  <si>
    <t>Phòng Tư pháp</t>
  </si>
  <si>
    <t>Phòng Dân tộc</t>
  </si>
  <si>
    <t>Hội Người cao tuổi</t>
  </si>
  <si>
    <t>Trung tâm VH-TT-DL và Truyền thông</t>
  </si>
  <si>
    <t>Trung tâm Dịch vụ nông nghiệp</t>
  </si>
  <si>
    <t>Trung tâm Chính trị huyện</t>
  </si>
  <si>
    <t>Trung tâm Môi trường và dịch vụ đô thị</t>
  </si>
  <si>
    <t>Ngân hàng CSXH huyện</t>
  </si>
  <si>
    <t>Trường PTDT Nội trú huyện</t>
  </si>
  <si>
    <t>Trung tâm y tế huyện</t>
  </si>
  <si>
    <t>Trường THCS Đăk Tờ Kan</t>
  </si>
  <si>
    <t>Trường THCS Đăk Rơ Ông</t>
  </si>
  <si>
    <t>Trung tâm GDNN-GDTX</t>
  </si>
  <si>
    <t>Phòng Kinh tế và Hạ tầng</t>
  </si>
  <si>
    <t>UBND xã Đăk Tờ Kan</t>
  </si>
  <si>
    <t>UBND xã Đắk Rơ Ông</t>
  </si>
  <si>
    <t>UBND xã Đăk Sao</t>
  </si>
  <si>
    <t>UBND xã Đắk Na</t>
  </si>
  <si>
    <t>UBND xã Đắk Hà</t>
  </si>
  <si>
    <t>UBND xã Tu Mơ Rông</t>
  </si>
  <si>
    <t>UBND xã Văn Xuôi</t>
  </si>
  <si>
    <t>UBND xã Ngọc Yêu</t>
  </si>
  <si>
    <t>UBND xã Tê Xăng</t>
  </si>
  <si>
    <t>Trong đó</t>
  </si>
  <si>
    <t>Dự toán đầu năm</t>
  </si>
  <si>
    <t>Phòng Tài nguyên và Môi trường</t>
  </si>
  <si>
    <t>Biểu mẫu số 58</t>
  </si>
  <si>
    <t>Tên đơn vị (1)</t>
  </si>
  <si>
    <t>Dự toán (2)</t>
  </si>
  <si>
    <t>Nộp trả ngân sách cấp trên</t>
  </si>
  <si>
    <t>Chi giáo dục đào tạo dạy nghề</t>
  </si>
  <si>
    <t>Chi khoa học và công nghệ (3)</t>
  </si>
  <si>
    <t>19= 7/1</t>
  </si>
  <si>
    <t>20= 8/2</t>
  </si>
  <si>
    <t>21=11/6</t>
  </si>
  <si>
    <t>22=14/3</t>
  </si>
  <si>
    <t>TỔNG SỐ</t>
  </si>
  <si>
    <t>(1) Theo quy định tại Điều 7, Điều 39 Luật NSNN, ngân sách huyện, xã không có nhiệm vụ chi nghiên cứu khoa học và công nghệ.</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</si>
  <si>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</si>
  <si>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</si>
  <si>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Tên đơn vị</t>
  </si>
  <si>
    <t>So sánh %</t>
  </si>
  <si>
    <t>Bổ sung cân đối</t>
  </si>
  <si>
    <t>Bổ sung mục tiêu</t>
  </si>
  <si>
    <t>Vốn đầu tư thực hiện các CTMT, nhiệm vụ</t>
  </si>
  <si>
    <t>Vốn sự nghiệp thực hiện các chế độ, chính sách</t>
  </si>
  <si>
    <t>Vốn thực hiện các CTMTQG</t>
  </si>
  <si>
    <t>3=4+5+6</t>
  </si>
  <si>
    <t>Kinh phí thực hiện chi hỗ trợ hộ nghèo theo tiêu chí thu nhập trên địa bàn tỉnh đón tết Nguyên đán Tân Sửu năm 2021</t>
  </si>
  <si>
    <t>Kinh phí thực hiện chính sách tinh giản biên chế đợt II năm 2020 (nhập để thu hồi ứng)</t>
  </si>
  <si>
    <t xml:space="preserve">Tạm cấp kinh phí phục vụ công tác bầu cử đại biểu Quốc hội và đại biểu Hội đồng nhân dân các cấp nhiệm kỳ 2021-2026 tỉnh Kon Tum </t>
  </si>
  <si>
    <t xml:space="preserve">Tạm cấp kinh phí thực hiện chính sách tinh giản biên chế đợt I năm 2021 </t>
  </si>
  <si>
    <t>Kinh phí phục vụ công tác diễn tập năm 2021</t>
  </si>
  <si>
    <t>Kinh phí thực hiện mua vắc xin và tổ chức phòng, chống dịch bệnh Viêm da nổi cục trên trâu, bò trên địa bàn tỉnh Kon Tum năm 2021</t>
  </si>
  <si>
    <t>Kinh phí thực hiện hỗ trợ tiền ăn cho học viên là người hoạt động không chuyên trách năm 2021</t>
  </si>
  <si>
    <t xml:space="preserve">Kinh phí thực hiện Đo đạc, cấp giấy chứng nhận QSD đất, chỉnh lý hồ sơ địa chính, lập quy hoạch sử dụng đất cấp huyện thời kỳ 2021-2030… </t>
  </si>
  <si>
    <t xml:space="preserve">Tạm cấp kinh phí thực hiện chính sách tinh giản biên chế đợt II năm 2021 </t>
  </si>
  <si>
    <t>Kinh phí tổ chức Đại biểu Hội đồng nhân dân tỉnh tiếp xúc cử tri và Chuyên mục “Diễn đàn cử tri” năm 2021</t>
  </si>
  <si>
    <t>Tạm cấp kinh phí phòng chống dịch Covid-19 đợt 2</t>
  </si>
  <si>
    <t>Kinh phí trang bị cồng chiêng</t>
  </si>
  <si>
    <t>Kinh phí quy hoạch</t>
  </si>
  <si>
    <t>Kinh phí thực hiện các chính sách theo quy định tại NQ 36/2020/NQ-HĐND ngày 16/7/2020</t>
  </si>
  <si>
    <t>Tạm cấp KP ASXH</t>
  </si>
  <si>
    <t>Tạm cấp KP chính sách giáo dục</t>
  </si>
  <si>
    <t>KP tiền điện hộ nghèo theo Kết luận KTNN</t>
  </si>
  <si>
    <t>KP hỗ trợ giống tham gia trồng Sâm Ngọc Linh</t>
  </si>
  <si>
    <t xml:space="preserve">Tạm cấp kinh phí phòng chống dịch Covid-19 </t>
  </si>
  <si>
    <t xml:space="preserve">Kinh phí phục vụ công tác bầu cử đại biểu Quốc hội và đại biểu Hội đồng nhân dân các cấp nhiệm kỳ 2021-2026 tỉnh Kon Tum </t>
  </si>
  <si>
    <t>Kinh phí thực hiện chính sách trợ giúp xã hội năm 2020</t>
  </si>
  <si>
    <t>Kinh phí thực hiện chính sách hỗ trợ để bảo vệ và phát triển đất trồng lúa năm 2020</t>
  </si>
  <si>
    <t>Kinh phí thực hiện chính sách bảo vệ và phát triển đất trồng lúa năm 2021</t>
  </si>
  <si>
    <t>Kinh phí thực hiện chính sách người uy tín</t>
  </si>
  <si>
    <t>KP phòng chống dịch Covid-19</t>
  </si>
  <si>
    <t>Bổ sung trong năm</t>
  </si>
  <si>
    <t xml:space="preserve">Hỗ trợ Sửa chữa cầu treo </t>
  </si>
  <si>
    <t xml:space="preserve">Kinh phí hỗ trợ tăng cường cơ sở vật chất, trang thiết bị dạy học và sự nghiệp giáo dục khác,... </t>
  </si>
  <si>
    <t>Hỗ trợ kinh phí mua sắm tài sản và sửa xe ô tô, tài sản khác</t>
  </si>
  <si>
    <t xml:space="preserve">Điều chuyển kinh phí điều chuyển biên chế từ Sở NN&amp;PTNT </t>
  </si>
  <si>
    <t>Hỗ trợ kinh phí thực hiện Nghị định 105/2020/NĐ-CP</t>
  </si>
  <si>
    <t xml:space="preserve">Kinh phí thực hiện nhiệm vụ Quy hoạch </t>
  </si>
  <si>
    <t xml:space="preserve">Hỗ trợ bổ sung lương biên chế giáo viên Mầm non năm 2019 </t>
  </si>
  <si>
    <t xml:space="preserve">Kinh phí cấp bù thủy lợi phí </t>
  </si>
  <si>
    <t xml:space="preserve">Kinh phí thực hiện chế độ mai táng phí cho các đối tượng </t>
  </si>
  <si>
    <t>Kinh phí hỗ trợ hụt chi thường xuyên dự toán năm 2021 so với năm 2020</t>
  </si>
  <si>
    <t>Hỗ trợ kinh phí Đại hội các tổ chức đoàn thể và Đại hội khác…</t>
  </si>
  <si>
    <t xml:space="preserve">Hỗ trợ diễn tập cấp huyện </t>
  </si>
  <si>
    <t xml:space="preserve">Hỗ trợ chi phí học tập và miễn giảm học phí theo Nghị định số 86/2015/NĐ-CP </t>
  </si>
  <si>
    <t xml:space="preserve">Hỗ trợ học sinh và trường phổ thông thôn ở xã, thôn đặc biệt khó khăn theo Nghị định số 116/2016/NĐ-CP </t>
  </si>
  <si>
    <t xml:space="preserve">Hỗ trợ kinh phí mua thẻ BHYT cho các đối tượng bảo trợ xã hội </t>
  </si>
  <si>
    <t xml:space="preserve">Hỗ trợ tiền điện hộ nghèo, hộ chính sách xã hội </t>
  </si>
  <si>
    <t xml:space="preserve">Hỗ trợ chính sách đối với người có uy tín trong đồng bào DTTS </t>
  </si>
  <si>
    <t xml:space="preserve">Bổ sung kinh phí thực hiện nhiệm vụ đảm bảo trật tự an toàn giao thông </t>
  </si>
  <si>
    <t>Hỗ trợ học bổng và phương tiện học tập cho học sinh khuyết tật theo TTLT số 42/2013/TTLT-BGDĐT-BLĐTBXH-BTC</t>
  </si>
  <si>
    <t xml:space="preserve">Kinh phí hỗ trợ tiền ăn đào tạo, bồi dưỡng cho cán bộ không chuyên trách xã, thôn theo Thông tư số 36/2018/TT-BTC </t>
  </si>
  <si>
    <t>Xã Ngọk Lây</t>
  </si>
  <si>
    <t>Xã Đắk Na</t>
  </si>
  <si>
    <t>Xã Măng Ri</t>
  </si>
  <si>
    <t>Xã Ngok Yêu</t>
  </si>
  <si>
    <t>Xã Đắk Sao</t>
  </si>
  <si>
    <t>Xã Đắk Rơ Ông</t>
  </si>
  <si>
    <t>Xã Đắk Tơ Kan</t>
  </si>
  <si>
    <t>Xã Tu Mơ Rông</t>
  </si>
  <si>
    <t>Xã Đắk Hà</t>
  </si>
  <si>
    <t>Xã Tê Xăng</t>
  </si>
  <si>
    <t>Xã Văn Xuôi</t>
  </si>
  <si>
    <t>Chương trình mục tiêu quốc gia</t>
  </si>
  <si>
    <t>Đầu tư phát triển</t>
  </si>
  <si>
    <t>Kinh phí sự nghiệp</t>
  </si>
  <si>
    <t>Chia ra</t>
  </si>
  <si>
    <t>Vốn trong nước</t>
  </si>
  <si>
    <t>Vốn ngoài nước</t>
  </si>
  <si>
    <t>16=5/1</t>
  </si>
  <si>
    <t>17=6/2</t>
  </si>
  <si>
    <t>18=7/3</t>
  </si>
  <si>
    <t>Trường Tiểu học Đăk Hà</t>
  </si>
  <si>
    <t>Xã Đăk Tờ Kan</t>
  </si>
  <si>
    <t>VII</t>
  </si>
  <si>
    <t>VIII</t>
  </si>
  <si>
    <t>IX</t>
  </si>
  <si>
    <t xml:space="preserve">(KHÔNG BAO GỒM NGUỒN NGÂN SÁCH NHÀ NƯỚC) </t>
  </si>
  <si>
    <t xml:space="preserve"> Sự nghiệp giáo dục - đào tạo và dạy nghề</t>
  </si>
  <si>
    <t xml:space="preserve"> Sự nghiệp giáo dục </t>
  </si>
  <si>
    <t xml:space="preserve"> Sự nghiệp đào tạo và dạy nghề</t>
  </si>
  <si>
    <t xml:space="preserve"> Sự nghiệp khoa học và công nghệ</t>
  </si>
  <si>
    <t xml:space="preserve"> Sự nghiệp văn hóa thông tin</t>
  </si>
  <si>
    <t xml:space="preserve"> Sự nghiệp phát thanh truyền hình</t>
  </si>
  <si>
    <t xml:space="preserve"> Sự nghiệp thể dục thể thao</t>
  </si>
  <si>
    <t xml:space="preserve">             (2) Chi các chương trình mục tiêu quốc gia, chương trình 135, dự án trồng mới 5 triệu ha rừng</t>
  </si>
  <si>
    <t xml:space="preserve">             (3) Hộ ngân sách được Thủ tướng Chính phủ giao phải là đơn vị dự toán cấp 1</t>
  </si>
  <si>
    <t>Biểu mẫu số 33</t>
  </si>
  <si>
    <t>KẾ HOẠCH THU DỊCH VỤ CỦA ĐƠN VỊ SỰ NGHIỆP CÔNG NĂM KẾ HOẠCH</t>
  </si>
  <si>
    <t>(KHÔNG BAO GỒM NGUỒN NSNN ĐẶT HÀNG, GIAO NHIỆM VỤ)</t>
  </si>
  <si>
    <t>(Dùng cho ngân sách các cấp chính quyền địa phương)</t>
  </si>
  <si>
    <t>Ước thực hiện năm hiện hành</t>
  </si>
  <si>
    <t>Kế hoạch</t>
  </si>
  <si>
    <t>- Sự nghiệp giáo dục - đào tạo và dạy nghề</t>
  </si>
  <si>
    <t>- Sự nghiệp y tế</t>
  </si>
  <si>
    <t>-….</t>
  </si>
  <si>
    <t>Các đơn vị do cấp tỉnh quản lý</t>
  </si>
  <si>
    <t>Các đơn vị do cấp huyện quản lý</t>
  </si>
  <si>
    <t>Các đơn vị do cấp xã quản lý</t>
  </si>
  <si>
    <t>Phòng Nông nghiệp và Phát triển nông thôn</t>
  </si>
  <si>
    <t>Phòng Tài chính - Kế hoạch</t>
  </si>
  <si>
    <t>Phòng Giáo dục và Đào tạo</t>
  </si>
  <si>
    <t>Phòng Y tế</t>
  </si>
  <si>
    <t>Phòng Lao động - Thương binh và Xã hội</t>
  </si>
  <si>
    <t>Phòng Văn hoá và Thông tin</t>
  </si>
  <si>
    <t>Phòng Nội vụ</t>
  </si>
  <si>
    <t>Thanh tra huyện</t>
  </si>
  <si>
    <t>Huyện uỷ</t>
  </si>
  <si>
    <t>Uỷ ban Mặt trận Tổ quốc huyện</t>
  </si>
  <si>
    <t>Hội Liên hiệp Phụ nữ huyện</t>
  </si>
  <si>
    <t>Hội Nông dân huyện</t>
  </si>
  <si>
    <t>Hội Cựu chiến binh huyện</t>
  </si>
  <si>
    <t>Hội Chữ thập đỏ</t>
  </si>
  <si>
    <t>Hội Cựu thanh niên xung phong</t>
  </si>
  <si>
    <t>Văn phòng HĐND-UBND huyện</t>
  </si>
  <si>
    <t>Ban chỉ huy quân sự huyện</t>
  </si>
  <si>
    <t>Hạt Kiểm Lâm huyện</t>
  </si>
  <si>
    <t xml:space="preserve">Huyện Đoàn </t>
  </si>
  <si>
    <t>Công an huyện</t>
  </si>
  <si>
    <t>Biểu mẫu số 59</t>
  </si>
  <si>
    <t>Biểu mẫu số 64</t>
  </si>
  <si>
    <t>Chi cho vay</t>
  </si>
  <si>
    <t>TỔNG HỢP CÁC MẪU BIỂU QUYẾT TOÁN NGÂN SÁCH NĂM 2022</t>
  </si>
  <si>
    <t>Các phụ biểu theo Nghị định số 31/2017/NĐ-CP ngày 23/03/2017 của Chính Phủ</t>
  </si>
  <si>
    <t>QUYẾT TOÁN CÂN ĐỐI NGÂN SÁCH ĐỊA PHƯƠNG NĂM 2022</t>
  </si>
  <si>
    <t>QUYẾT TOÁN NGUỒN THU NGÂN SÁCH NHÀ NƯỚC TRÊN ĐỊA BÀN THEO LĨNH VỰC NĂM 2022</t>
  </si>
  <si>
    <t>QUYẾT TOÁN CHI NGÂN SÁCH ĐỊA PHƯƠNG THEO LĨNH VỰC NĂM 2022</t>
  </si>
  <si>
    <t>QUYẾT TOÁN CHI NGÂN SÁCH CẤP HUYỆN, XÃ THEO LĨNH VỰC NĂM 2022</t>
  </si>
  <si>
    <t>QUYẾT TOÁN CHI NGÂN SÁCH ĐỊA PHƯƠNG, CHI NGÂN SÁCH CẤP HUYỆN VÀ CHI NGÂN SÁCH XÃ THEO CƠ CẤU CHI NĂM 2022</t>
  </si>
  <si>
    <t>QUYẾT TOÁN CHI NGÂN SÁCH CẤP HUYỆN CHO TỪNG CƠ QUAN, TỔ CHỨC THEO LĨNH VỰC NĂM 2022</t>
  </si>
  <si>
    <t>QUYẾT TOÁN CHI NGÂN SÁCH ĐỊA PHƯƠNG TỪNG XÃ NĂM 2022</t>
  </si>
  <si>
    <t>QUYẾT TOÁN CHI BỔ SUNG TỪ NGÂN SÁCH CẤP HUYỆN CHO NGÂN SÁCH TỪNG XÃ NĂM 2022</t>
  </si>
  <si>
    <t>QUYẾT TOÁN CHI CHƯƠNG TRÌNH MỤC TIÊU QUỐC GIA NĂM 2022</t>
  </si>
  <si>
    <t>TỔNG HỢP THU DỊCH VỤ CỦA ĐƠN VỊ SỰ NGHIỆP CÔNG NĂM 2022 (KHÔNG BAO GỒM NGUỒN NGÂN SÁCH NHÀ NƯỚC)</t>
  </si>
  <si>
    <t>TỔNG HỢP THU DỊCH VỤ CỦA ĐƠN VỊ SỰ NGHIỆP CÔNG NĂM 2022</t>
  </si>
  <si>
    <t xml:space="preserve"> Sự nghiệp kinh tế</t>
  </si>
  <si>
    <t>Kế hoạch năm 2022</t>
  </si>
  <si>
    <t>Thực hiện năm 2022</t>
  </si>
  <si>
    <t>Dự toán năm 2022</t>
  </si>
  <si>
    <t>Quyết toán năm 2022</t>
  </si>
  <si>
    <t>Chương trình mục tiêu quốc gia phát triển kinh tế xã hội vùng đồng bào dân tộc thiểu số và miền núi giai đoạn 2021-2030, giai đoạn 1 2021-2025</t>
  </si>
  <si>
    <t>Chương trình mục tiêu quốc gia xây dựng nông thôn mới giai đoạn 2021-2025</t>
  </si>
  <si>
    <t>Chương trình mục tiêu quốc gia Giảm nghèo bền vững giai đoạn 2021-2025</t>
  </si>
  <si>
    <t>dự phòng</t>
  </si>
  <si>
    <t>nộp trả</t>
  </si>
  <si>
    <t>tổng chi tt 342</t>
  </si>
  <si>
    <t>đầu tư</t>
  </si>
  <si>
    <t>chi tx tt342</t>
  </si>
  <si>
    <t>chi tx nđ 31</t>
  </si>
  <si>
    <t>mt</t>
  </si>
  <si>
    <t>ctmt</t>
  </si>
  <si>
    <t>cân đối</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</si>
  <si>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t>
  </si>
  <si>
    <t>tt 342</t>
  </si>
  <si>
    <t>Chi bổ sung ns cấp dưới</t>
  </si>
  <si>
    <t>thu bổ sung ns cấp dưới</t>
  </si>
  <si>
    <t>QUYẾT TOÁN CHI NGÂN SÁCH CẤP HUYỆN THEO LĨNH VỰC NĂM 2022</t>
  </si>
  <si>
    <t>QUYẾT TOÁN CHI NGÂN SÁCH ĐỊA PHƯƠNG, CHI NGÂN SÁCH CẤP HUYỆN 
VÀ CHI NGÂN SÁCH XÃ THEO CƠ CẤU CHI NĂM 2022</t>
  </si>
  <si>
    <t>QUYẾT TOÁN CHI NGÂN SÁCH HUYỆN CHO TỪNG CƠ QUAN, ĐƠN VỊ  THEO LĨNH VỰC NĂM 2022</t>
  </si>
  <si>
    <t>Hôi Nạn nhân chất độc da cam/dioxin</t>
  </si>
  <si>
    <t>Trường Mầm Non Đăk Hà</t>
  </si>
  <si>
    <t>Trường Mầm Non Đăk Tờ Kan</t>
  </si>
  <si>
    <t>Trường Mầm Non Đăk Rơ Ông</t>
  </si>
  <si>
    <t>Trường Mầm non Tu Mơ Rông</t>
  </si>
  <si>
    <t>Trường Mầm non Văn Xuôi</t>
  </si>
  <si>
    <t>Trường Mầm non Tê Xăng</t>
  </si>
  <si>
    <t>Trường Mầm non Măng Ri</t>
  </si>
  <si>
    <t>Trường Mầm non Ngọc Yêu</t>
  </si>
  <si>
    <t>Trường Mầm non Ngọc Lây</t>
  </si>
  <si>
    <t>Trường Mầm non Đăk Sao</t>
  </si>
  <si>
    <t>Trường Mầm non Đăk Na</t>
  </si>
  <si>
    <t>Trường Tiểu học Đăk Tờ Kan</t>
  </si>
  <si>
    <t>TrườngTiểu học Đăk Rơ Ông</t>
  </si>
  <si>
    <t>Trường THCS BT DTTS Tu Mơ Rông</t>
  </si>
  <si>
    <t>Trường PTDTBT TH - THCS xã Văn Xuôi</t>
  </si>
  <si>
    <t>Trường PTDTBT TH - THCS xã Măng Ri</t>
  </si>
  <si>
    <t>UBND xã Đăk Hà</t>
  </si>
  <si>
    <t>UBND xã Đăk Na</t>
  </si>
  <si>
    <t>UBND xã Đăk Rơ Ồng</t>
  </si>
  <si>
    <t>UBND xã Măng Ri</t>
  </si>
  <si>
    <t>UBND xã Ngọk Lây</t>
  </si>
  <si>
    <t>Trường PTDT BT TH xã Đăk Sao</t>
  </si>
  <si>
    <t>Trường PTDT BTT TH - THCS Đăk Sao</t>
  </si>
  <si>
    <t>Trường PTDTBT TH - THCS Đăk Na</t>
  </si>
  <si>
    <t>Trường PTDTBT TH - THCS Tu Mơ Rông</t>
  </si>
  <si>
    <t>Trường PTDTBT TH - THCS xã Ngọc Yêu</t>
  </si>
  <si>
    <t>Trường PTDTBT TH - THCS xã Ngọc Lây</t>
  </si>
  <si>
    <t>Trường PTDTBT TH - THCS xã Tê Xăng</t>
  </si>
  <si>
    <t>Ban quản lý XDCB huyện</t>
  </si>
  <si>
    <t>UBND xã Đăk Rơ Ông</t>
  </si>
  <si>
    <t>UBND xã Ngọk Yêu</t>
  </si>
  <si>
    <t>Dụ án 1 - Giải quyết tình trạng thiếu đất ở, nhà ở, đất sản xuất, nước sinh hoạt</t>
  </si>
  <si>
    <t>Dụ án 2 - Quy hoạch, sắp xếp, bố trí, ổn định dân cư ở những nơi cần thiết</t>
  </si>
  <si>
    <t>Dụ án 4 - Đầu tư cơ sở hạ tầng thiết yếu, phục vụ sản xuất, đời sống trong vùng đồng bào dân tộc thiểu số và miền núi và các đơn vị sự nghiệp công lập của lĩnh vực dân tộc</t>
  </si>
  <si>
    <t>Dụ án 5 - Phát triển giáo dục đào tạo nâng cao chất lượng nguồn nhân lực</t>
  </si>
  <si>
    <t>Dự án 6 - Bảo tồn, phát huy giá trị văn hóa truyền thống tốt đẹp của các dân tộc thiểu số gắn với phát triển du lịch</t>
  </si>
  <si>
    <t>Dụ án 10 - Truyền thông, tuyên truyền, vận động trong vùng đồng bào dân tộc thiểu số và miền núi. Kiểm tra, giám sát đánh giá việc tổ chức thực hiện chương trình</t>
  </si>
  <si>
    <t>Trung tâm VHTTDL&amp;TT huyện</t>
  </si>
  <si>
    <t>UBND xã Đăk Tơ Kan</t>
  </si>
  <si>
    <t>UBND xã Đắk Sao</t>
  </si>
  <si>
    <t>Dự án 1</t>
  </si>
  <si>
    <t>Tiểu dự án 1</t>
  </si>
  <si>
    <t>Dự án 2: Đa dạng hóa sinh kế, phát triển mô hình giảm nghèo</t>
  </si>
  <si>
    <t>Dự án 3: Hỗ trợ phát triển sản xuất trong lĩnh vực nông nghiệp</t>
  </si>
  <si>
    <t>Trung tâm dịch vụ Nông nghiệp huyện</t>
  </si>
  <si>
    <t>Dự án 4: Phát triển giáo dục nghề nghiệp, việc làm bền vững</t>
  </si>
  <si>
    <t>TDA 1: Trung tâm GDNN-GDTX huyện</t>
  </si>
  <si>
    <t>TDA 2: Phòng Lao động Thương binh và Xã Hội</t>
  </si>
  <si>
    <t>TDA 3: Phòng Lao động Thương binh và Xã Hội</t>
  </si>
  <si>
    <t>Phòng Lao động Thương binh và Xã Hội</t>
  </si>
  <si>
    <t>Dự án 6: Truyền thông và giảm nghèo về thông tin</t>
  </si>
  <si>
    <t>TDA 1: Trung tâm Văn hóa - Thể thảo - Du lịch và Truyền thông</t>
  </si>
  <si>
    <t>TDA 2: Trung tâm Văn hóa - Thể thảo - Du lịch và Truyền thông</t>
  </si>
  <si>
    <t>Dự án 7: Nâng cao năng lực và giám sát, đánh giá Chương trình</t>
  </si>
  <si>
    <t>Kế hoạch năm 2021 chuyển nguồn sang năm 2022</t>
  </si>
  <si>
    <t xml:space="preserve">Chương trình mỗi xã một sản phẩm </t>
  </si>
  <si>
    <t xml:space="preserve">Nâng cao chất lượng môi trường, xây dựng cảnh quan nông thôn sáng, xanh, sạch, đẹp, an toàn </t>
  </si>
  <si>
    <t>KP hoạt động của chỉ đạo Chương trinh</t>
  </si>
  <si>
    <t>KP hoạt động khác cña địa phương  - 11xã</t>
  </si>
  <si>
    <t>Truyền thông về xây dựng nông thôn mới</t>
  </si>
  <si>
    <t xml:space="preserve">Phát triển du lịch nông thôn - </t>
  </si>
  <si>
    <t>Phòng Văn hóa và Thông tin</t>
  </si>
  <si>
    <t>Phòng Nông nghiệp và PTNT huyện</t>
  </si>
  <si>
    <t>Trung tâm Văn hóa-Thể thảo-Du lịch và Truyền thông</t>
  </si>
  <si>
    <t>CHƯƠNG TRÌNH MỤC TIÊU QUỐC GIA PT ĐỒNG BÀO DÂN TỘC THIỂU SỐ VÀ MIỀN NÚI</t>
  </si>
  <si>
    <t>Dự án 3: Phát triển sản xuất nông, lâm nghiệp bền vững, phát huy tiềm năng, thế mạnh của các vùng miền để sản xuất hàng hóa theo chuỗi giá trị</t>
  </si>
  <si>
    <t>Tiểu dự án 2</t>
  </si>
  <si>
    <t>TDA3: Phòng Nông nghiệp và Phát triển nông thôn</t>
  </si>
  <si>
    <t>TDA3: Phòng Lao động - Thương binh và Xã hội</t>
  </si>
  <si>
    <t>TDA2: Phòng Dân tộc</t>
  </si>
  <si>
    <t>TDA4: Phòng Dân tộc</t>
  </si>
  <si>
    <t>TDA1: Phòng Giáo dục và Đào tạo</t>
  </si>
  <si>
    <t>TDA3: Trung tâm GDNN-GDTX huyện</t>
  </si>
  <si>
    <t>Dự án 8: Thực hiện bình đẳng giới và giải quyết những vấn đề cấp thiết đối với phụ nữ và trẻ em</t>
  </si>
  <si>
    <t>Hội Liên hiệp Phụ nữ</t>
  </si>
  <si>
    <t>Dự án 9: Đầu tư phát triển nhóm dân tộc thiểu số rất ít người và nhóm dân tộc còn nhiều khó khăn</t>
  </si>
  <si>
    <t>TDA2: Phòng Tư Pháp</t>
  </si>
  <si>
    <t>TDA1: Phòng Dân tộc</t>
  </si>
  <si>
    <t>TDA3: Phòng Dân tộc</t>
  </si>
  <si>
    <t>TDA2: Trung tâm Văn hóa - Thể thảo - Du lịch và TT</t>
  </si>
  <si>
    <t xml:space="preserve">CHƯƠNG TRÌNH MỤC TIÊU QUỐC GIA GIẢM NGHÈO BỀN VỮNG </t>
  </si>
  <si>
    <t>CHƯƠNG TRÌNH MỤC TIÊU QUỐC GIA XÂY DỰNG NÔNG THÔN MỚI</t>
  </si>
  <si>
    <t>UBND xã Đắk Tờ Kan</t>
  </si>
  <si>
    <r>
      <t>Ghi chú:</t>
    </r>
    <r>
      <rPr>
        <i/>
        <sz val="11"/>
        <color indexed="8"/>
        <rFont val="Times New Roman"/>
        <family val="1"/>
      </rPr>
      <t xml:space="preserve"> </t>
    </r>
  </si>
  <si>
    <t>(Kèm theo Nghị quyết số            /NQ-HĐND ngày     tháng     năm 2023 của Hội đồng nhân dân huyện)</t>
  </si>
  <si>
    <t>HĐND HUYỆN TU MƠ RÔNG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</si>
</sst>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_(* \(#,##0.00\);_(* &quot;-&quot;??_);_(@_)"/>
    <numFmt numFmtId="164" formatCode="_(* #,##0_);_(* \(#,##0\);_(* &quot;-&quot;??_);_(@_)"/>
    <numFmt numFmtId="165" formatCode="_(* #,##0.000_);_(* \(#,##0.000\);_(* &quot;-&quot;??_);_(@_)"/>
    <numFmt numFmtId="166" formatCode="_(* #,##0.0_);_(* \(#,##0.0\);_(* &quot;-&quot;??_);_(@_)"/>
    <numFmt numFmtId="167" formatCode="_-* #,##0.00\ _₫_-;\-* #,##0.00\ _₫_-;_-* &quot;-&quot;??\ _₫_-;_-@_-"/>
    <numFmt numFmtId="168" formatCode="_(* #,##0.0_);_(* \(#,##0.0\);_(* &quot;-&quot;?_);_(@_)"/>
    <numFmt numFmtId="169" formatCode="_(* #,##0.000000_);_(* \(#,##0.000000\);_(* &quot;-&quot;??_);_(@_)"/>
    <numFmt numFmtId="170" formatCode="_-* #,##0.00_-;\-* #,##0.00_-;_-* &quot;-&quot;??_-;_-@_-"/>
    <numFmt numFmtId="171" formatCode="00"/>
    <numFmt numFmtId="172" formatCode="_-* #,##0.0_-;\-* #,##0.0_-;_-* &quot;-&quot;?_-;_-@_-"/>
    <numFmt numFmtId="173" formatCode="_-* #,##0.0000\ _₫_-;\-* #,##0.0000\ _₫_-;_-* &quot;-&quot;??\ _₫_-;_-@_-"/>
    <numFmt numFmtId="174" formatCode="_(* #,##0.000_);_(* \(#,##0.000\);_(* &quot;-&quot;?_);_(@_)"/>
    <numFmt numFmtId="175" formatCode="_(* #,##0.0000_);_(* \(#,##0.0000\);_(* &quot;-&quot;????_);_(@_)"/>
    <numFmt numFmtId="176" formatCode="###,###,###"/>
    <numFmt numFmtId="177" formatCode="_(* #,##0.00000_);_(* \(#,##0.00000\);_(* &quot;-&quot;?_);_(@_)"/>
    <numFmt numFmtId="178" formatCode="_(* #,##0_);_(* \(#,##0\);_(* &quot;-&quot;?????_);_(@_)"/>
    <numFmt numFmtId="179" formatCode="_(* #,##0.000_);_(* \(#,##0.000\);_(* &quot;-&quot;???_);_(@_)"/>
    <numFmt numFmtId="180" formatCode="###,###,###.000"/>
    <numFmt numFmtId="181" formatCode="###,###,###.00"/>
    <numFmt numFmtId="182" formatCode="_(* #,##0.000000_);_(* \(#,##0.000000\);_(* &quot;-&quot;?_);_(@_)"/>
    <numFmt numFmtId="183" formatCode="_(* #,##0.000000_);_(* \(#,##0.000000\);_(* &quot;-&quot;???_);_(@_)"/>
    <numFmt numFmtId="184" formatCode="_(* #,##0.000000_);_(* \(#,##0.000000\);_(* &quot;-&quot;??????_);_(@_)"/>
    <numFmt numFmtId="185" formatCode="_(* #,##0.000000000000000_);_(* \(#,##0.000000000000000\);_(* &quot;-&quot;??_);_(@_)"/>
  </numFmts>
  <fonts count="47">
    <font>
      <sz val="11"/>
      <color theme="1"/>
      <name val="Calibri"/>
      <family val="2"/>
      <scheme val="minor"/>
    </font>
    <font>
      <sz val="11"/>
      <color theme="1"/>
      <name val="Calibri"/>
      <family val="2"/>
      <scheme val="minor"/>
    </font>
    <font>
      <sz val="11"/>
      <color indexed="8"/>
      <name val="Calibri"/>
      <family val="2"/>
      <charset val="163"/>
    </font>
    <font>
      <b/>
      <sz val="13"/>
      <color indexed="8"/>
      <name val="Times New Roman"/>
      <family val="1"/>
    </font>
    <font>
      <b/>
      <sz val="13"/>
      <name val="Times New Roman"/>
      <family val="1"/>
    </font>
    <font>
      <i/>
      <sz val="11"/>
      <name val="Times New Roman"/>
      <family val="1"/>
    </font>
    <font>
      <sz val="12"/>
      <name val="Times New Roman"/>
      <family val="1"/>
    </font>
    <font>
      <b/>
      <sz val="12"/>
      <color indexed="8"/>
      <name val="Times New Roman"/>
      <family val="1"/>
    </font>
    <font>
      <i/>
      <sz val="12"/>
      <color indexed="8"/>
      <name val="Times New Roman"/>
      <family val="1"/>
    </font>
    <font>
      <sz val="12"/>
      <color indexed="8"/>
      <name val="Times New Roman"/>
      <family val="1"/>
    </font>
    <font>
      <sz val="12"/>
      <color rgb="FFFF0000"/>
      <name val="Times New Roman"/>
      <family val="1"/>
    </font>
    <font>
      <b/>
      <sz val="11"/>
      <color indexed="8"/>
      <name val="Calibri"/>
      <family val="2"/>
      <charset val="163"/>
    </font>
    <font>
      <b/>
      <i/>
      <sz val="12"/>
      <color indexed="8"/>
      <name val="Times New Roman"/>
      <family val="1"/>
    </font>
    <font>
      <i/>
      <sz val="11"/>
      <color indexed="8"/>
      <name val="Calibri"/>
      <family val="2"/>
      <charset val="163"/>
    </font>
    <font>
      <i/>
      <sz val="12"/>
      <name val="Times New Roman"/>
      <family val="1"/>
    </font>
    <font>
      <sz val="11"/>
      <name val="Calibri"/>
      <family val="2"/>
      <charset val="163"/>
    </font>
    <font>
      <b/>
      <sz val="12"/>
      <name val="Times New Roman"/>
      <family val="1"/>
    </font>
    <font>
      <b/>
      <sz val="12"/>
      <color rgb="FFFF0000"/>
      <name val="Times New Roman"/>
      <family val="1"/>
    </font>
    <font>
      <sz val="11"/>
      <color rgb="FFFF0000"/>
      <name val="Calibri"/>
      <family val="2"/>
      <charset val="163"/>
    </font>
    <font>
      <sz val="11"/>
      <name val=".VnTime"/>
      <family val="2"/>
    </font>
    <font>
      <b/>
      <i/>
      <sz val="12"/>
      <name val="Times New Roman"/>
      <family val="1"/>
    </font>
    <font>
      <sz val="11"/>
      <name val="Times New Roman"/>
      <family val="1"/>
    </font>
    <font>
      <b/>
      <sz val="11"/>
      <name val="Times New Roman"/>
      <family val="1"/>
    </font>
    <font>
      <sz val="10"/>
      <name val="Arial"/>
      <family val="2"/>
    </font>
    <font>
      <b/>
      <sz val="10"/>
      <name val="Times New Roman"/>
      <family val="1"/>
    </font>
    <font>
      <sz val="11"/>
      <color indexed="63"/>
      <name val="Calibri"/>
      <family val="2"/>
      <charset val="163"/>
    </font>
    <font>
      <b/>
      <sz val="11"/>
      <color indexed="8"/>
      <name val="Times New Roman"/>
      <family val="1"/>
    </font>
    <font>
      <sz val="11"/>
      <color indexed="63"/>
      <name val="Times New Roman"/>
      <family val="1"/>
    </font>
    <font>
      <sz val="10"/>
      <name val="Arial"/>
      <family val="2"/>
      <charset val="163"/>
    </font>
    <font>
      <sz val="12"/>
      <name val=".VnTime"/>
      <family val="2"/>
    </font>
    <font>
      <sz val="11"/>
      <name val="Arial"/>
      <family val="2"/>
    </font>
    <font>
      <b/>
      <sz val="11"/>
      <name val="Calibri"/>
      <family val="2"/>
      <charset val="163"/>
    </font>
    <font>
      <b/>
      <sz val="11"/>
      <color indexed="63"/>
      <name val="Times New Roman"/>
      <family val="1"/>
    </font>
    <font>
      <sz val="11"/>
      <color indexed="8"/>
      <name val="Times New Roman"/>
      <family val="1"/>
    </font>
    <font>
      <sz val="11"/>
      <color indexed="8"/>
      <name val="Calibri"/>
      <family val="2"/>
    </font>
    <font>
      <sz val="12"/>
      <color indexed="63"/>
      <name val="Arial Narrow"/>
      <family val="2"/>
      <charset val="163"/>
    </font>
    <font>
      <sz val="11"/>
      <color theme="1"/>
      <name val="Times New Roman"/>
      <family val="1"/>
    </font>
    <font>
      <b/>
      <sz val="11"/>
      <color theme="1"/>
      <name val="Times New Roman"/>
      <family val="1"/>
    </font>
    <font>
      <i/>
      <sz val="11"/>
      <color indexed="8"/>
      <name val="Times New Roman"/>
      <family val="1"/>
    </font>
    <font>
      <sz val="14"/>
      <name val="Times New Roman"/>
      <family val="1"/>
    </font>
    <font>
      <sz val="11"/>
      <color theme="1"/>
      <name val="Calibri"/>
      <family val="2"/>
      <charset val="163"/>
      <scheme val="minor"/>
    </font>
    <font>
      <sz val="14"/>
      <name val=".VnTime"/>
      <family val="2"/>
    </font>
    <font>
      <b/>
      <i/>
      <sz val="11"/>
      <name val="Times New Roman"/>
      <family val="1"/>
    </font>
    <font>
      <b/>
      <i/>
      <sz val="11"/>
      <color indexed="8"/>
      <name val="Times New Roman"/>
      <family val="1"/>
    </font>
    <font>
      <sz val="11"/>
      <color theme="0"/>
      <name val="Calibri"/>
      <family val="2"/>
      <charset val="163"/>
    </font>
    <font>
      <sz val="11"/>
      <color theme="0"/>
      <name val="Times New Roman"/>
      <family val="1"/>
    </font>
    <font>
      <b/>
      <sz val="11"/>
      <color theme="0"/>
      <name val="Calibri"/>
      <family val="2"/>
      <charset val="16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dashed">
        <color auto="1"/>
      </bottom>
      <diagonal/>
    </border>
  </borders>
  <cellStyleXfs count="21">
    <xf numFmtId="0" fontId="0" fillId="0" borderId="0"/>
    <xf numFmtId="43" fontId="1" fillId="0" borderId="0" applyFont="0" applyFill="0" applyBorder="0" applyAlignment="0" applyProtection="0"/>
    <xf numFmtId="0" fontId="2" fillId="0" borderId="0"/>
    <xf numFmtId="43" fontId="19" fillId="0" borderId="0" applyFont="0" applyFill="0" applyBorder="0" applyAlignment="0" applyProtection="0"/>
    <xf numFmtId="0" fontId="23" fillId="0" borderId="0"/>
    <xf numFmtId="43" fontId="23" fillId="0" borderId="0" applyFont="0" applyFill="0" applyBorder="0" applyAlignment="0" applyProtection="0"/>
    <xf numFmtId="0" fontId="25" fillId="0" borderId="0"/>
    <xf numFmtId="0" fontId="28" fillId="0" borderId="0"/>
    <xf numFmtId="43" fontId="28" fillId="0" borderId="0" applyFont="0" applyFill="0" applyBorder="0" applyAlignment="0" applyProtection="0"/>
    <xf numFmtId="0" fontId="23" fillId="0" borderId="0"/>
    <xf numFmtId="0" fontId="23" fillId="0" borderId="0"/>
    <xf numFmtId="167" fontId="23" fillId="0" borderId="0" applyFont="0" applyFill="0" applyBorder="0" applyAlignment="0" applyProtection="0"/>
    <xf numFmtId="0" fontId="29" fillId="0" borderId="0"/>
    <xf numFmtId="0" fontId="34" fillId="0" borderId="0"/>
    <xf numFmtId="0" fontId="35" fillId="0" borderId="0"/>
    <xf numFmtId="0" fontId="23" fillId="0" borderId="0"/>
    <xf numFmtId="0" fontId="39" fillId="0" borderId="0"/>
    <xf numFmtId="0" fontId="40" fillId="0" borderId="0"/>
    <xf numFmtId="0" fontId="23" fillId="0" borderId="0"/>
    <xf numFmtId="0" fontId="41" fillId="0" borderId="0"/>
    <xf numFmtId="167" fontId="34" fillId="0" borderId="0" applyFont="0" applyFill="0" applyBorder="0" applyAlignment="0" applyProtection="0"/>
  </cellStyleXfs>
  <cellXfs count="415">
    <xf numFmtId="0" fontId="0" fillId="0" borderId="0" xfId="0"/>
    <xf numFmtId="0" fontId="3" fillId="0" borderId="0" xfId="2" applyFont="1"/>
    <xf numFmtId="0" fontId="6" fillId="0" borderId="1" xfId="0" applyFont="1" applyBorder="1" applyAlignment="1">
      <alignment horizontal="center" vertical="center" wrapText="1"/>
    </xf>
    <xf numFmtId="0" fontId="2" fillId="0" borderId="0" xfId="2"/>
    <xf numFmtId="164" fontId="2" fillId="0" borderId="0" xfId="1" applyNumberFormat="1" applyFont="1"/>
    <xf numFmtId="165" fontId="2" fillId="0" borderId="0" xfId="1" applyNumberFormat="1" applyFont="1"/>
    <xf numFmtId="164" fontId="7" fillId="0" borderId="0" xfId="1" applyNumberFormat="1" applyFont="1" applyAlignment="1">
      <alignment horizontal="right" vertical="center"/>
    </xf>
    <xf numFmtId="43" fontId="2" fillId="0" borderId="0" xfId="1" applyFont="1"/>
    <xf numFmtId="164" fontId="8" fillId="0" borderId="0" xfId="1" applyNumberFormat="1" applyFont="1" applyAlignment="1">
      <alignment horizontal="right" vertical="center"/>
    </xf>
    <xf numFmtId="164" fontId="7" fillId="0" borderId="1" xfId="1" applyNumberFormat="1" applyFont="1" applyBorder="1" applyAlignment="1">
      <alignment horizontal="center" vertical="center" wrapText="1"/>
    </xf>
    <xf numFmtId="0" fontId="9" fillId="0" borderId="1" xfId="2" applyFont="1" applyBorder="1" applyAlignment="1">
      <alignment horizontal="center" vertical="center" wrapText="1"/>
    </xf>
    <xf numFmtId="0" fontId="9" fillId="0" borderId="1" xfId="1" applyNumberFormat="1" applyFont="1" applyBorder="1" applyAlignment="1">
      <alignment horizontal="center" vertical="center" wrapText="1"/>
    </xf>
    <xf numFmtId="164" fontId="9" fillId="0" borderId="1" xfId="1" applyNumberFormat="1" applyFont="1" applyBorder="1" applyAlignment="1">
      <alignment horizontal="center" vertical="center" wrapText="1"/>
    </xf>
    <xf numFmtId="0" fontId="2" fillId="0" borderId="0" xfId="2" applyFont="1" applyAlignment="1">
      <alignment horizontal="center"/>
    </xf>
    <xf numFmtId="0" fontId="7" fillId="0" borderId="1" xfId="2" applyFont="1" applyBorder="1" applyAlignment="1">
      <alignment horizontal="center" vertical="center" wrapText="1"/>
    </xf>
    <xf numFmtId="0" fontId="7" fillId="0" borderId="1" xfId="2" applyFont="1" applyBorder="1" applyAlignment="1">
      <alignment vertical="center" wrapText="1"/>
    </xf>
    <xf numFmtId="166" fontId="7" fillId="0" borderId="1" xfId="1" applyNumberFormat="1" applyFont="1" applyBorder="1" applyAlignment="1">
      <alignment horizontal="center" vertical="center" wrapText="1"/>
    </xf>
    <xf numFmtId="0" fontId="9" fillId="0" borderId="1" xfId="2" applyFont="1" applyBorder="1" applyAlignment="1">
      <alignment vertical="center" wrapText="1"/>
    </xf>
    <xf numFmtId="166" fontId="9" fillId="0" borderId="1" xfId="1" applyNumberFormat="1" applyFont="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2" applyFont="1" applyFill="1" applyBorder="1" applyAlignment="1">
      <alignment vertical="center" wrapText="1"/>
    </xf>
    <xf numFmtId="164" fontId="9" fillId="0" borderId="1" xfId="1" applyNumberFormat="1" applyFont="1" applyFill="1" applyBorder="1" applyAlignment="1">
      <alignment horizontal="center" vertical="center" wrapText="1"/>
    </xf>
    <xf numFmtId="0" fontId="2" fillId="0" borderId="0" xfId="2" applyFill="1"/>
    <xf numFmtId="0" fontId="11" fillId="0" borderId="0" xfId="2" applyFont="1"/>
    <xf numFmtId="43" fontId="7" fillId="0" borderId="0" xfId="1" applyFont="1" applyAlignment="1">
      <alignment horizontal="right" vertical="center"/>
    </xf>
    <xf numFmtId="43" fontId="8" fillId="0" borderId="0" xfId="1" applyFont="1" applyAlignment="1">
      <alignment horizontal="right" vertical="center"/>
    </xf>
    <xf numFmtId="43" fontId="7" fillId="0" borderId="1" xfId="1" applyFont="1" applyBorder="1" applyAlignment="1">
      <alignment horizontal="center" vertical="center" wrapText="1"/>
    </xf>
    <xf numFmtId="164" fontId="7" fillId="0" borderId="1" xfId="1" applyNumberFormat="1" applyFont="1" applyBorder="1" applyAlignment="1">
      <alignment vertical="center" wrapText="1"/>
    </xf>
    <xf numFmtId="0" fontId="9" fillId="0" borderId="3" xfId="2" applyFont="1" applyBorder="1" applyAlignment="1">
      <alignment horizontal="center" vertical="center" wrapText="1"/>
    </xf>
    <xf numFmtId="166" fontId="9" fillId="0" borderId="1" xfId="1" applyNumberFormat="1" applyFont="1" applyBorder="1" applyAlignment="1">
      <alignment vertical="center" wrapText="1"/>
    </xf>
    <xf numFmtId="0" fontId="2" fillId="0" borderId="0" xfId="2" applyFont="1"/>
    <xf numFmtId="0" fontId="9" fillId="0" borderId="4" xfId="2" applyFont="1" applyBorder="1" applyAlignment="1">
      <alignment vertical="center" wrapText="1"/>
    </xf>
    <xf numFmtId="0" fontId="9" fillId="0" borderId="1" xfId="2" quotePrefix="1" applyFont="1" applyBorder="1" applyAlignment="1">
      <alignment vertical="center" wrapText="1"/>
    </xf>
    <xf numFmtId="0" fontId="9" fillId="0" borderId="5" xfId="2" applyFont="1" applyBorder="1" applyAlignment="1">
      <alignment vertical="center" wrapText="1"/>
    </xf>
    <xf numFmtId="0" fontId="8" fillId="0" borderId="1" xfId="2" quotePrefix="1" applyFont="1" applyBorder="1" applyAlignment="1">
      <alignment vertical="center" wrapText="1"/>
    </xf>
    <xf numFmtId="166" fontId="8" fillId="0" borderId="1" xfId="1" applyNumberFormat="1" applyFont="1" applyBorder="1" applyAlignment="1">
      <alignment vertical="center" wrapText="1"/>
    </xf>
    <xf numFmtId="0" fontId="13" fillId="0" borderId="0" xfId="2" applyFont="1"/>
    <xf numFmtId="166" fontId="8" fillId="0" borderId="1" xfId="1" applyNumberFormat="1" applyFont="1" applyBorder="1" applyAlignment="1">
      <alignment horizontal="center" vertical="center" wrapText="1"/>
    </xf>
    <xf numFmtId="2" fontId="14" fillId="0" borderId="1" xfId="1" applyNumberFormat="1" applyFont="1" applyFill="1" applyBorder="1" applyAlignment="1">
      <alignment vertical="center" wrapText="1"/>
    </xf>
    <xf numFmtId="166" fontId="14" fillId="0" borderId="1" xfId="1" applyNumberFormat="1" applyFont="1" applyFill="1" applyBorder="1"/>
    <xf numFmtId="0" fontId="8" fillId="0" borderId="1" xfId="2" applyFont="1" applyBorder="1" applyAlignment="1">
      <alignment horizontal="center" vertical="center" wrapText="1"/>
    </xf>
    <xf numFmtId="0" fontId="8" fillId="0" borderId="1" xfId="2" applyFont="1" applyBorder="1" applyAlignment="1">
      <alignment vertical="center" wrapText="1"/>
    </xf>
    <xf numFmtId="0" fontId="12" fillId="0" borderId="0" xfId="2" applyFont="1" applyAlignment="1">
      <alignment horizontal="left" vertical="center"/>
    </xf>
    <xf numFmtId="0" fontId="15" fillId="0" borderId="0" xfId="2" applyFont="1" applyFill="1"/>
    <xf numFmtId="164" fontId="15" fillId="0" borderId="0" xfId="1" applyNumberFormat="1" applyFont="1" applyFill="1"/>
    <xf numFmtId="164" fontId="16" fillId="0" borderId="0" xfId="1" applyNumberFormat="1" applyFont="1" applyFill="1" applyAlignment="1">
      <alignment horizontal="right" vertical="center"/>
    </xf>
    <xf numFmtId="164" fontId="14" fillId="0" borderId="0" xfId="1" applyNumberFormat="1" applyFont="1" applyFill="1" applyAlignment="1">
      <alignment horizontal="right" vertical="center"/>
    </xf>
    <xf numFmtId="0" fontId="16" fillId="0" borderId="1" xfId="2"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0" fontId="16" fillId="0" borderId="1" xfId="2" applyFont="1" applyFill="1" applyBorder="1" applyAlignment="1">
      <alignment vertical="center" wrapText="1"/>
    </xf>
    <xf numFmtId="164" fontId="16" fillId="0" borderId="1" xfId="1" applyNumberFormat="1" applyFont="1" applyFill="1" applyBorder="1" applyAlignment="1">
      <alignment vertical="center" wrapText="1"/>
    </xf>
    <xf numFmtId="166" fontId="16" fillId="0" borderId="1" xfId="1" applyNumberFormat="1" applyFont="1" applyFill="1" applyBorder="1" applyAlignment="1">
      <alignment vertical="center" wrapText="1"/>
    </xf>
    <xf numFmtId="0" fontId="16" fillId="3" borderId="1" xfId="2" applyFont="1" applyFill="1" applyBorder="1" applyAlignment="1">
      <alignment horizontal="center" vertical="center" wrapText="1"/>
    </xf>
    <xf numFmtId="0" fontId="16" fillId="3" borderId="1" xfId="2" applyFont="1" applyFill="1" applyBorder="1" applyAlignment="1">
      <alignment vertical="center" wrapText="1"/>
    </xf>
    <xf numFmtId="164" fontId="16" fillId="3" borderId="1" xfId="1" applyNumberFormat="1" applyFont="1" applyFill="1" applyBorder="1" applyAlignment="1">
      <alignment vertical="center" wrapText="1"/>
    </xf>
    <xf numFmtId="0" fontId="6" fillId="3" borderId="1" xfId="2" applyFont="1" applyFill="1" applyBorder="1" applyAlignment="1">
      <alignment horizontal="center" vertical="center" wrapText="1"/>
    </xf>
    <xf numFmtId="0" fontId="6" fillId="3" borderId="1" xfId="2" applyFont="1" applyFill="1" applyBorder="1" applyAlignment="1">
      <alignment vertical="center" wrapText="1"/>
    </xf>
    <xf numFmtId="164" fontId="6" fillId="3" borderId="1" xfId="1" applyNumberFormat="1" applyFont="1" applyFill="1" applyBorder="1" applyAlignment="1">
      <alignment vertical="center" wrapText="1"/>
    </xf>
    <xf numFmtId="0" fontId="14" fillId="3" borderId="1" xfId="2"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0" borderId="1" xfId="2" applyFont="1" applyFill="1" applyBorder="1" applyAlignment="1">
      <alignment horizontal="center" vertical="center" wrapText="1"/>
    </xf>
    <xf numFmtId="0" fontId="14" fillId="0" borderId="1" xfId="2" applyFont="1" applyFill="1" applyBorder="1" applyAlignment="1">
      <alignment vertical="center" wrapText="1"/>
    </xf>
    <xf numFmtId="164" fontId="6" fillId="0" borderId="1" xfId="1" applyNumberFormat="1" applyFont="1" applyFill="1" applyBorder="1" applyAlignment="1">
      <alignment vertical="center" wrapText="1"/>
    </xf>
    <xf numFmtId="164" fontId="6" fillId="0" borderId="1" xfId="1" applyNumberFormat="1" applyFont="1" applyFill="1" applyBorder="1" applyAlignment="1">
      <alignment horizontal="center" vertical="center" wrapText="1"/>
    </xf>
    <xf numFmtId="166" fontId="6" fillId="0" borderId="1" xfId="1" applyNumberFormat="1" applyFont="1" applyFill="1" applyBorder="1" applyAlignment="1">
      <alignment vertical="center" wrapText="1"/>
    </xf>
    <xf numFmtId="164" fontId="17" fillId="3" borderId="1" xfId="1" applyNumberFormat="1" applyFont="1" applyFill="1" applyBorder="1" applyAlignment="1">
      <alignment vertical="center" wrapText="1"/>
    </xf>
    <xf numFmtId="0" fontId="15" fillId="3" borderId="0" xfId="2" applyFont="1" applyFill="1"/>
    <xf numFmtId="0" fontId="18" fillId="3" borderId="0" xfId="2" applyFont="1" applyFill="1"/>
    <xf numFmtId="0" fontId="10" fillId="3" borderId="1" xfId="2" applyFont="1" applyFill="1" applyBorder="1" applyAlignment="1">
      <alignment horizontal="center" vertical="center" wrapText="1"/>
    </xf>
    <xf numFmtId="0" fontId="10" fillId="3" borderId="1" xfId="2" applyFont="1" applyFill="1" applyBorder="1" applyAlignment="1">
      <alignment vertical="center" wrapText="1"/>
    </xf>
    <xf numFmtId="164" fontId="10" fillId="3" borderId="1" xfId="1" applyNumberFormat="1" applyFont="1" applyFill="1" applyBorder="1" applyAlignment="1">
      <alignment vertical="center" wrapText="1"/>
    </xf>
    <xf numFmtId="0" fontId="10" fillId="3" borderId="1" xfId="2" quotePrefix="1" applyFont="1" applyFill="1" applyBorder="1" applyAlignment="1">
      <alignment horizontal="center" vertical="center" wrapText="1"/>
    </xf>
    <xf numFmtId="0" fontId="6" fillId="4" borderId="1" xfId="0" applyFont="1" applyFill="1" applyBorder="1" applyAlignment="1">
      <alignment horizontal="left" vertical="center" wrapText="1"/>
    </xf>
    <xf numFmtId="164" fontId="6" fillId="0" borderId="1" xfId="3" applyNumberFormat="1" applyFont="1" applyFill="1" applyBorder="1" applyAlignment="1">
      <alignment horizontal="left" vertical="center" wrapText="1"/>
    </xf>
    <xf numFmtId="164" fontId="6"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16" fillId="0" borderId="1" xfId="2" applyFont="1" applyBorder="1" applyAlignment="1">
      <alignment horizontal="center" vertical="center" wrapText="1"/>
    </xf>
    <xf numFmtId="0" fontId="16" fillId="0" borderId="1" xfId="2" applyFont="1" applyBorder="1" applyAlignment="1">
      <alignment vertical="center" wrapText="1"/>
    </xf>
    <xf numFmtId="164" fontId="16" fillId="0" borderId="1" xfId="1" applyNumberFormat="1" applyFont="1" applyBorder="1" applyAlignment="1">
      <alignment vertical="center" wrapText="1"/>
    </xf>
    <xf numFmtId="164" fontId="2" fillId="0" borderId="0" xfId="3" applyNumberFormat="1" applyFont="1"/>
    <xf numFmtId="164" fontId="7" fillId="0" borderId="0" xfId="3" applyNumberFormat="1" applyFont="1" applyAlignment="1">
      <alignment horizontal="right" vertical="center"/>
    </xf>
    <xf numFmtId="164" fontId="8" fillId="0" borderId="0" xfId="3" applyNumberFormat="1" applyFont="1" applyAlignment="1">
      <alignment horizontal="right" vertical="center"/>
    </xf>
    <xf numFmtId="164" fontId="7" fillId="0" borderId="1" xfId="3" applyNumberFormat="1" applyFont="1" applyBorder="1" applyAlignment="1">
      <alignment horizontal="center" vertical="center" wrapText="1"/>
    </xf>
    <xf numFmtId="0" fontId="7" fillId="0" borderId="1" xfId="3" applyNumberFormat="1" applyFont="1" applyBorder="1" applyAlignment="1">
      <alignment horizontal="center" vertical="center" wrapText="1"/>
    </xf>
    <xf numFmtId="0" fontId="6" fillId="0" borderId="1" xfId="0" applyFont="1" applyBorder="1" applyAlignment="1">
      <alignment vertical="center" wrapText="1"/>
    </xf>
    <xf numFmtId="0" fontId="8" fillId="0" borderId="0" xfId="2" applyFont="1" applyAlignment="1">
      <alignment horizontal="left" vertical="center"/>
    </xf>
    <xf numFmtId="166" fontId="6" fillId="0" borderId="1" xfId="3" applyNumberFormat="1" applyFont="1" applyFill="1" applyBorder="1" applyAlignment="1">
      <alignment horizontal="center" vertical="center" wrapText="1"/>
    </xf>
    <xf numFmtId="0" fontId="6" fillId="0" borderId="1" xfId="2" quotePrefix="1" applyFont="1" applyBorder="1" applyAlignment="1">
      <alignment horizontal="center" vertical="center" wrapText="1"/>
    </xf>
    <xf numFmtId="164" fontId="6" fillId="0" borderId="1" xfId="3" applyNumberFormat="1" applyFont="1" applyFill="1" applyBorder="1" applyAlignment="1">
      <alignment horizontal="center" vertical="center" wrapText="1"/>
    </xf>
    <xf numFmtId="0" fontId="23" fillId="0" borderId="0" xfId="4" applyFont="1" applyFill="1"/>
    <xf numFmtId="164" fontId="23" fillId="0" borderId="0" xfId="4" applyNumberFormat="1" applyFont="1" applyFill="1"/>
    <xf numFmtId="164" fontId="23" fillId="0" borderId="0" xfId="1" applyNumberFormat="1" applyFont="1" applyFill="1"/>
    <xf numFmtId="0" fontId="6" fillId="0" borderId="0" xfId="0" applyFont="1" applyFill="1"/>
    <xf numFmtId="0" fontId="21" fillId="0" borderId="0" xfId="0" applyFont="1" applyFill="1"/>
    <xf numFmtId="0" fontId="20" fillId="0" borderId="1" xfId="4" applyFont="1" applyFill="1" applyBorder="1" applyAlignment="1">
      <alignment horizontal="center"/>
    </xf>
    <xf numFmtId="0" fontId="20" fillId="0" borderId="0" xfId="0" applyFont="1" applyFill="1"/>
    <xf numFmtId="0" fontId="16" fillId="0" borderId="1" xfId="4" applyFont="1" applyFill="1" applyBorder="1" applyAlignment="1">
      <alignment horizontal="center"/>
    </xf>
    <xf numFmtId="164" fontId="22" fillId="0" borderId="1" xfId="1" applyNumberFormat="1" applyFont="1" applyFill="1" applyBorder="1" applyAlignment="1">
      <alignment horizontal="center"/>
    </xf>
    <xf numFmtId="164" fontId="6" fillId="0" borderId="0" xfId="0" applyNumberFormat="1" applyFont="1" applyFill="1"/>
    <xf numFmtId="3" fontId="6" fillId="0" borderId="1" xfId="0" applyNumberFormat="1" applyFont="1" applyFill="1" applyBorder="1" applyAlignment="1">
      <alignment horizontal="center" vertical="center"/>
    </xf>
    <xf numFmtId="171" fontId="6" fillId="0" borderId="1" xfId="0" applyNumberFormat="1" applyFont="1" applyFill="1" applyBorder="1" applyAlignment="1">
      <alignment horizontal="left" vertical="center" wrapText="1"/>
    </xf>
    <xf numFmtId="164" fontId="6" fillId="0" borderId="1" xfId="1" applyNumberFormat="1" applyFont="1" applyFill="1" applyBorder="1" applyAlignment="1">
      <alignment wrapText="1"/>
    </xf>
    <xf numFmtId="164" fontId="6" fillId="0" borderId="1" xfId="1" applyNumberFormat="1" applyFont="1" applyFill="1" applyBorder="1" applyAlignment="1">
      <alignment vertical="center"/>
    </xf>
    <xf numFmtId="164" fontId="6" fillId="0" borderId="1" xfId="1" applyNumberFormat="1" applyFont="1" applyFill="1" applyBorder="1"/>
    <xf numFmtId="164" fontId="16" fillId="0" borderId="0" xfId="5" applyNumberFormat="1" applyFont="1" applyFill="1"/>
    <xf numFmtId="0" fontId="16" fillId="0" borderId="0" xfId="7" applyFont="1" applyFill="1"/>
    <xf numFmtId="0" fontId="6" fillId="0" borderId="0" xfId="7" applyFont="1" applyFill="1"/>
    <xf numFmtId="164" fontId="21" fillId="0" borderId="1" xfId="3" applyNumberFormat="1" applyFont="1" applyFill="1" applyBorder="1"/>
    <xf numFmtId="0" fontId="6" fillId="0" borderId="0" xfId="0" applyFont="1"/>
    <xf numFmtId="0" fontId="21" fillId="0" borderId="1" xfId="4" applyFont="1" applyFill="1" applyBorder="1" applyAlignment="1">
      <alignment horizontal="center"/>
    </xf>
    <xf numFmtId="0" fontId="22" fillId="0" borderId="1" xfId="4" applyFont="1" applyFill="1" applyBorder="1" applyAlignment="1">
      <alignment horizontal="center"/>
    </xf>
    <xf numFmtId="0" fontId="22" fillId="0" borderId="1" xfId="4" applyFont="1" applyFill="1" applyBorder="1"/>
    <xf numFmtId="164" fontId="22" fillId="0" borderId="1" xfId="3" applyNumberFormat="1" applyFont="1" applyFill="1" applyBorder="1"/>
    <xf numFmtId="0" fontId="21" fillId="0" borderId="1" xfId="4" applyFont="1" applyFill="1" applyBorder="1"/>
    <xf numFmtId="164" fontId="21" fillId="0" borderId="1" xfId="5" applyNumberFormat="1" applyFont="1" applyFill="1" applyBorder="1"/>
    <xf numFmtId="166" fontId="6" fillId="0" borderId="1" xfId="1" applyNumberFormat="1" applyFont="1" applyFill="1" applyBorder="1"/>
    <xf numFmtId="0" fontId="16" fillId="0" borderId="1" xfId="2" applyFont="1" applyBorder="1" applyAlignment="1">
      <alignment horizontal="center" vertical="center" wrapText="1"/>
    </xf>
    <xf numFmtId="164" fontId="16" fillId="0" borderId="1" xfId="3" applyNumberFormat="1" applyFont="1" applyFill="1" applyBorder="1" applyAlignment="1">
      <alignment horizontal="left" vertical="center" wrapText="1"/>
    </xf>
    <xf numFmtId="0" fontId="31" fillId="0" borderId="0" xfId="2" applyFont="1" applyFill="1"/>
    <xf numFmtId="3" fontId="6" fillId="0" borderId="1" xfId="12" applyNumberFormat="1" applyFont="1" applyFill="1" applyBorder="1" applyAlignment="1">
      <alignment vertical="center" wrapText="1"/>
    </xf>
    <xf numFmtId="0" fontId="6" fillId="0" borderId="1" xfId="0" applyFont="1" applyFill="1" applyBorder="1" applyAlignment="1">
      <alignment vertical="center" wrapText="1"/>
    </xf>
    <xf numFmtId="3" fontId="6" fillId="0" borderId="1" xfId="0" applyNumberFormat="1" applyFont="1" applyFill="1" applyBorder="1" applyAlignment="1">
      <alignment horizontal="right"/>
    </xf>
    <xf numFmtId="164" fontId="16" fillId="0" borderId="1" xfId="1" applyNumberFormat="1" applyFont="1" applyBorder="1" applyAlignment="1">
      <alignment horizontal="right" vertical="center" wrapText="1"/>
    </xf>
    <xf numFmtId="164" fontId="6" fillId="0" borderId="1" xfId="1" applyNumberFormat="1" applyFont="1" applyBorder="1" applyAlignment="1">
      <alignment wrapText="1"/>
    </xf>
    <xf numFmtId="0" fontId="16" fillId="0" borderId="1" xfId="1" applyNumberFormat="1" applyFont="1" applyFill="1" applyBorder="1" applyAlignment="1">
      <alignment horizontal="center" vertical="center" wrapText="1"/>
    </xf>
    <xf numFmtId="0" fontId="27" fillId="0" borderId="0" xfId="6" applyFont="1"/>
    <xf numFmtId="43" fontId="27" fillId="0" borderId="0" xfId="6" applyNumberFormat="1" applyFont="1"/>
    <xf numFmtId="0" fontId="26" fillId="0" borderId="1" xfId="6" applyFont="1" applyBorder="1" applyAlignment="1">
      <alignment vertical="center" wrapText="1"/>
    </xf>
    <xf numFmtId="43" fontId="26" fillId="0" borderId="1" xfId="1" applyFont="1" applyBorder="1" applyAlignment="1">
      <alignment horizontal="center" vertical="center" wrapText="1"/>
    </xf>
    <xf numFmtId="43" fontId="32" fillId="0" borderId="0" xfId="6" applyNumberFormat="1" applyFont="1"/>
    <xf numFmtId="0" fontId="32" fillId="0" borderId="0" xfId="6" applyFont="1"/>
    <xf numFmtId="167" fontId="32" fillId="0" borderId="0" xfId="6" applyNumberFormat="1" applyFont="1"/>
    <xf numFmtId="0" fontId="33" fillId="0" borderId="1" xfId="6" quotePrefix="1" applyFont="1" applyBorder="1" applyAlignment="1">
      <alignment horizontal="center" vertical="center" wrapText="1"/>
    </xf>
    <xf numFmtId="0" fontId="33" fillId="0" borderId="1" xfId="6" applyFont="1" applyBorder="1" applyAlignment="1">
      <alignment wrapText="1"/>
    </xf>
    <xf numFmtId="43" fontId="33" fillId="0" borderId="1" xfId="1" applyFont="1" applyBorder="1" applyAlignment="1">
      <alignment horizontal="center" vertical="center" wrapText="1"/>
    </xf>
    <xf numFmtId="167" fontId="27" fillId="0" borderId="0" xfId="6" applyNumberFormat="1" applyFont="1"/>
    <xf numFmtId="0" fontId="36" fillId="0" borderId="0" xfId="0" applyFont="1"/>
    <xf numFmtId="0" fontId="9" fillId="0" borderId="1" xfId="2" quotePrefix="1" applyFont="1" applyFill="1" applyBorder="1" applyAlignment="1">
      <alignment horizontal="center" vertical="center" wrapText="1"/>
    </xf>
    <xf numFmtId="0" fontId="6" fillId="0" borderId="1" xfId="2" applyFont="1" applyFill="1" applyBorder="1" applyAlignment="1">
      <alignment vertical="center" wrapText="1"/>
    </xf>
    <xf numFmtId="0" fontId="6" fillId="0" borderId="1" xfId="0" applyFont="1" applyFill="1" applyBorder="1" applyAlignment="1">
      <alignment horizontal="center" vertical="center" wrapText="1"/>
    </xf>
    <xf numFmtId="164" fontId="16" fillId="0" borderId="0" xfId="3" applyNumberFormat="1" applyFont="1" applyFill="1" applyAlignment="1">
      <alignment horizontal="right" vertical="center"/>
    </xf>
    <xf numFmtId="173" fontId="6" fillId="0" borderId="0" xfId="2" applyNumberFormat="1" applyFont="1" applyFill="1"/>
    <xf numFmtId="175" fontId="6" fillId="0" borderId="0" xfId="2" applyNumberFormat="1" applyFont="1" applyFill="1"/>
    <xf numFmtId="164" fontId="6" fillId="0" borderId="0" xfId="2" applyNumberFormat="1" applyFont="1" applyFill="1"/>
    <xf numFmtId="0" fontId="6" fillId="0" borderId="0" xfId="2" applyFont="1" applyFill="1"/>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164" fontId="14" fillId="0" borderId="1" xfId="3" applyNumberFormat="1" applyFont="1" applyFill="1" applyBorder="1" applyAlignment="1">
      <alignment horizontal="center" vertical="center" wrapText="1"/>
    </xf>
    <xf numFmtId="0" fontId="6" fillId="0" borderId="0" xfId="7" applyFont="1" applyFill="1" applyAlignment="1">
      <alignment vertical="center"/>
    </xf>
    <xf numFmtId="0" fontId="16" fillId="0" borderId="0" xfId="7" applyFont="1" applyFill="1" applyAlignment="1">
      <alignment vertical="center"/>
    </xf>
    <xf numFmtId="0" fontId="6" fillId="0" borderId="0" xfId="7" applyFont="1" applyFill="1" applyAlignment="1">
      <alignment vertical="center" wrapText="1"/>
    </xf>
    <xf numFmtId="176" fontId="6" fillId="0" borderId="0" xfId="7" applyNumberFormat="1" applyFont="1" applyFill="1"/>
    <xf numFmtId="176" fontId="16" fillId="0" borderId="23" xfId="7" applyNumberFormat="1" applyFont="1" applyFill="1" applyBorder="1" applyAlignment="1" applyProtection="1">
      <alignment horizontal="center" vertical="center"/>
    </xf>
    <xf numFmtId="0" fontId="6" fillId="0" borderId="24" xfId="7" applyFont="1" applyFill="1" applyBorder="1" applyAlignment="1">
      <alignment vertical="center"/>
    </xf>
    <xf numFmtId="176" fontId="14" fillId="0" borderId="25" xfId="7" applyNumberFormat="1" applyFont="1" applyFill="1" applyBorder="1" applyAlignment="1">
      <alignment horizontal="center" vertical="center"/>
    </xf>
    <xf numFmtId="176" fontId="16" fillId="0" borderId="25" xfId="7" applyNumberFormat="1" applyFont="1" applyFill="1" applyBorder="1" applyAlignment="1">
      <alignment horizontal="center" vertical="center"/>
    </xf>
    <xf numFmtId="176" fontId="6" fillId="0" borderId="27" xfId="7" applyNumberFormat="1" applyFont="1" applyFill="1" applyBorder="1" applyAlignment="1" applyProtection="1">
      <alignment horizontal="justify" vertical="center"/>
    </xf>
    <xf numFmtId="0" fontId="6" fillId="0" borderId="28" xfId="7" applyFont="1" applyFill="1" applyBorder="1"/>
    <xf numFmtId="0" fontId="6" fillId="0" borderId="29" xfId="7" applyFont="1" applyFill="1" applyBorder="1"/>
    <xf numFmtId="3" fontId="6" fillId="0" borderId="1" xfId="12" applyNumberFormat="1" applyFont="1" applyFill="1" applyBorder="1" applyAlignment="1">
      <alignment horizontal="right" wrapText="1"/>
    </xf>
    <xf numFmtId="3" fontId="6" fillId="0" borderId="1" xfId="1" applyNumberFormat="1" applyFont="1" applyFill="1" applyBorder="1" applyAlignment="1">
      <alignment horizontal="right" wrapText="1"/>
    </xf>
    <xf numFmtId="3" fontId="6" fillId="0" borderId="1" xfId="0" applyNumberFormat="1" applyFont="1" applyFill="1" applyBorder="1" applyAlignment="1">
      <alignment horizontal="right" wrapText="1"/>
    </xf>
    <xf numFmtId="164" fontId="16" fillId="0" borderId="1" xfId="1" applyNumberFormat="1" applyFont="1" applyFill="1" applyBorder="1" applyAlignment="1">
      <alignment wrapText="1"/>
    </xf>
    <xf numFmtId="164" fontId="10" fillId="0" borderId="1" xfId="1" applyNumberFormat="1" applyFont="1" applyFill="1" applyBorder="1" applyAlignment="1">
      <alignment wrapText="1"/>
    </xf>
    <xf numFmtId="0" fontId="37" fillId="0" borderId="0" xfId="0" applyFont="1"/>
    <xf numFmtId="164" fontId="7" fillId="0" borderId="1" xfId="1"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165" fontId="9" fillId="0" borderId="1" xfId="1" applyNumberFormat="1" applyFont="1" applyBorder="1" applyAlignment="1">
      <alignment horizontal="center" vertical="center" wrapText="1"/>
    </xf>
    <xf numFmtId="165" fontId="9" fillId="0" borderId="1" xfId="1" applyNumberFormat="1" applyFont="1" applyFill="1" applyBorder="1" applyAlignment="1">
      <alignment horizontal="center" vertical="center" wrapText="1"/>
    </xf>
    <xf numFmtId="179" fontId="2" fillId="0" borderId="0" xfId="2" applyNumberFormat="1"/>
    <xf numFmtId="165" fontId="9" fillId="0" borderId="1" xfId="1" applyNumberFormat="1" applyFont="1" applyBorder="1" applyAlignment="1">
      <alignment vertical="center" wrapText="1"/>
    </xf>
    <xf numFmtId="165" fontId="9" fillId="0" borderId="1" xfId="1" applyNumberFormat="1" applyFont="1" applyBorder="1"/>
    <xf numFmtId="168" fontId="11" fillId="0" borderId="0" xfId="2" applyNumberFormat="1" applyFont="1"/>
    <xf numFmtId="0" fontId="15" fillId="0" borderId="0" xfId="2" applyFont="1"/>
    <xf numFmtId="0" fontId="15" fillId="0" borderId="0" xfId="2" applyFont="1" applyAlignment="1">
      <alignment horizontal="center"/>
    </xf>
    <xf numFmtId="0" fontId="31" fillId="0" borderId="0" xfId="2" applyFont="1"/>
    <xf numFmtId="0" fontId="16" fillId="0" borderId="0" xfId="10" applyFont="1" applyAlignment="1"/>
    <xf numFmtId="0" fontId="6" fillId="0" borderId="0" xfId="7" applyNumberFormat="1" applyFont="1" applyFill="1" applyAlignment="1">
      <alignment vertical="center"/>
    </xf>
    <xf numFmtId="0" fontId="16" fillId="0" borderId="0" xfId="0" applyFont="1" applyAlignment="1"/>
    <xf numFmtId="176" fontId="14" fillId="0" borderId="12" xfId="7" applyNumberFormat="1" applyFont="1" applyFill="1" applyBorder="1" applyAlignment="1">
      <alignment horizontal="right" vertical="center"/>
    </xf>
    <xf numFmtId="176" fontId="16" fillId="0" borderId="13" xfId="7" applyNumberFormat="1" applyFont="1" applyFill="1" applyBorder="1" applyAlignment="1" applyProtection="1">
      <alignment horizontal="center" vertical="center" wrapText="1"/>
    </xf>
    <xf numFmtId="176" fontId="16" fillId="0" borderId="14" xfId="7" applyNumberFormat="1" applyFont="1" applyFill="1" applyBorder="1" applyAlignment="1" applyProtection="1">
      <alignment horizontal="center" vertical="center" wrapText="1"/>
    </xf>
    <xf numFmtId="0" fontId="16" fillId="0" borderId="15" xfId="7" applyFont="1" applyFill="1" applyBorder="1" applyAlignment="1">
      <alignment horizontal="center" vertical="center" wrapText="1"/>
    </xf>
    <xf numFmtId="176" fontId="16" fillId="0" borderId="15" xfId="7" applyNumberFormat="1" applyFont="1" applyFill="1" applyBorder="1" applyAlignment="1" applyProtection="1">
      <alignment horizontal="center" vertical="center" wrapText="1"/>
    </xf>
    <xf numFmtId="0" fontId="16" fillId="0" borderId="16" xfId="7" applyFont="1" applyFill="1" applyBorder="1" applyAlignment="1">
      <alignment horizontal="center" vertical="center" wrapText="1"/>
    </xf>
    <xf numFmtId="176" fontId="16" fillId="0" borderId="1" xfId="7" applyNumberFormat="1" applyFont="1" applyFill="1" applyBorder="1" applyAlignment="1" applyProtection="1">
      <alignment horizontal="center" vertical="center" wrapText="1"/>
    </xf>
    <xf numFmtId="176" fontId="16" fillId="0" borderId="0" xfId="7" applyNumberFormat="1" applyFont="1" applyFill="1" applyAlignment="1">
      <alignment vertical="center" wrapText="1"/>
    </xf>
    <xf numFmtId="0" fontId="14" fillId="0" borderId="0" xfId="7" applyFont="1" applyFill="1"/>
    <xf numFmtId="0" fontId="16" fillId="0" borderId="0" xfId="7" applyNumberFormat="1" applyFont="1" applyFill="1" applyAlignment="1">
      <alignment horizontal="right" vertical="center"/>
    </xf>
    <xf numFmtId="176" fontId="6" fillId="0" borderId="17" xfId="7" applyNumberFormat="1" applyFont="1" applyFill="1" applyBorder="1" applyAlignment="1" applyProtection="1">
      <alignment horizontal="center" vertical="center" wrapText="1"/>
    </xf>
    <xf numFmtId="176" fontId="6" fillId="0" borderId="5" xfId="7" applyNumberFormat="1" applyFont="1" applyFill="1" applyBorder="1" applyAlignment="1" applyProtection="1">
      <alignment vertical="center" wrapText="1"/>
    </xf>
    <xf numFmtId="0" fontId="6" fillId="0" borderId="18" xfId="7" applyFont="1" applyFill="1" applyBorder="1" applyAlignment="1">
      <alignment vertical="center" wrapText="1"/>
    </xf>
    <xf numFmtId="176" fontId="6" fillId="0" borderId="19" xfId="7" applyNumberFormat="1" applyFont="1" applyFill="1" applyBorder="1" applyAlignment="1" applyProtection="1">
      <alignment horizontal="center" vertical="center" wrapText="1"/>
    </xf>
    <xf numFmtId="176" fontId="6" fillId="0" borderId="4" xfId="7" applyNumberFormat="1" applyFont="1" applyFill="1" applyBorder="1" applyAlignment="1" applyProtection="1">
      <alignment vertical="center" wrapText="1"/>
    </xf>
    <xf numFmtId="0" fontId="6" fillId="0" borderId="20" xfId="7" applyFont="1" applyFill="1" applyBorder="1" applyAlignment="1">
      <alignment vertical="center" wrapText="1"/>
    </xf>
    <xf numFmtId="176" fontId="16" fillId="0" borderId="21" xfId="7" applyNumberFormat="1" applyFont="1" applyFill="1" applyBorder="1" applyAlignment="1" applyProtection="1">
      <alignment horizontal="center" vertical="center" wrapText="1"/>
    </xf>
    <xf numFmtId="176" fontId="16" fillId="0" borderId="22" xfId="7" applyNumberFormat="1" applyFont="1" applyFill="1" applyBorder="1" applyAlignment="1">
      <alignment horizontal="center" vertical="center" wrapText="1"/>
    </xf>
    <xf numFmtId="176" fontId="16" fillId="0" borderId="10" xfId="7" applyNumberFormat="1" applyFont="1" applyFill="1" applyBorder="1" applyAlignment="1">
      <alignment horizontal="left" vertical="center"/>
    </xf>
    <xf numFmtId="176" fontId="16" fillId="0" borderId="10" xfId="7" applyNumberFormat="1" applyFont="1" applyFill="1" applyBorder="1" applyAlignment="1">
      <alignment horizontal="center" vertical="center"/>
    </xf>
    <xf numFmtId="176" fontId="14" fillId="0" borderId="11" xfId="7" applyNumberFormat="1" applyFont="1" applyFill="1" applyBorder="1" applyAlignment="1" applyProtection="1">
      <alignment horizontal="left" vertical="center"/>
    </xf>
    <xf numFmtId="0" fontId="14" fillId="0" borderId="11" xfId="7" applyFont="1" applyFill="1" applyBorder="1"/>
    <xf numFmtId="0" fontId="14" fillId="0" borderId="26" xfId="7" applyFont="1" applyFill="1" applyBorder="1"/>
    <xf numFmtId="176" fontId="14" fillId="0" borderId="11" xfId="7" quotePrefix="1" applyNumberFormat="1" applyFont="1" applyFill="1" applyBorder="1" applyAlignment="1" applyProtection="1">
      <alignment horizontal="left" vertical="center"/>
    </xf>
    <xf numFmtId="176" fontId="16" fillId="0" borderId="11" xfId="7" applyNumberFormat="1" applyFont="1" applyFill="1" applyBorder="1" applyAlignment="1" applyProtection="1">
      <alignment horizontal="left" vertical="center"/>
    </xf>
    <xf numFmtId="0" fontId="16" fillId="0" borderId="11" xfId="7" applyFont="1" applyFill="1" applyBorder="1"/>
    <xf numFmtId="0" fontId="16" fillId="0" borderId="26" xfId="7" applyFont="1" applyFill="1" applyBorder="1"/>
    <xf numFmtId="0" fontId="6" fillId="0" borderId="11" xfId="7" applyFont="1" applyFill="1" applyBorder="1"/>
    <xf numFmtId="0" fontId="6" fillId="0" borderId="26" xfId="7" applyFont="1" applyFill="1" applyBorder="1"/>
    <xf numFmtId="176" fontId="6" fillId="0" borderId="28" xfId="7" applyNumberFormat="1" applyFont="1" applyFill="1" applyBorder="1" applyAlignment="1" applyProtection="1">
      <alignment horizontal="justify" vertical="center"/>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lignment horizontal="center" vertical="center" wrapText="1"/>
    </xf>
    <xf numFmtId="165" fontId="7" fillId="0" borderId="1" xfId="1" applyNumberFormat="1" applyFont="1" applyBorder="1" applyAlignment="1">
      <alignment horizontal="center" vertical="center" wrapText="1"/>
    </xf>
    <xf numFmtId="165" fontId="6" fillId="0" borderId="1" xfId="1" applyNumberFormat="1" applyFont="1" applyBorder="1" applyAlignment="1">
      <alignment horizontal="center" vertical="center" wrapText="1"/>
    </xf>
    <xf numFmtId="165" fontId="6" fillId="0" borderId="1" xfId="1" applyNumberFormat="1" applyFont="1" applyFill="1" applyBorder="1" applyAlignment="1">
      <alignment horizontal="center" vertical="center" wrapText="1"/>
    </xf>
    <xf numFmtId="165" fontId="16" fillId="0" borderId="1" xfId="1" applyNumberFormat="1" applyFont="1" applyBorder="1" applyAlignment="1">
      <alignment vertical="center" wrapText="1"/>
    </xf>
    <xf numFmtId="165" fontId="16" fillId="0" borderId="1" xfId="1" applyNumberFormat="1" applyFont="1" applyFill="1" applyBorder="1" applyAlignment="1">
      <alignment vertical="center" wrapText="1"/>
    </xf>
    <xf numFmtId="165" fontId="16" fillId="3" borderId="1" xfId="1" applyNumberFormat="1" applyFont="1" applyFill="1" applyBorder="1" applyAlignment="1">
      <alignment vertical="center" wrapText="1"/>
    </xf>
    <xf numFmtId="165" fontId="6" fillId="3" borderId="1" xfId="1" applyNumberFormat="1" applyFont="1" applyFill="1" applyBorder="1" applyAlignment="1">
      <alignment vertical="center" wrapText="1"/>
    </xf>
    <xf numFmtId="165" fontId="17" fillId="3" borderId="1" xfId="1" applyNumberFormat="1" applyFont="1" applyFill="1" applyBorder="1" applyAlignment="1">
      <alignment vertical="center" wrapText="1"/>
    </xf>
    <xf numFmtId="165" fontId="10" fillId="3" borderId="1" xfId="1" applyNumberFormat="1" applyFont="1" applyFill="1" applyBorder="1" applyAlignment="1">
      <alignment vertical="center" wrapText="1"/>
    </xf>
    <xf numFmtId="165" fontId="6" fillId="0" borderId="1" xfId="1" applyNumberFormat="1" applyFont="1" applyFill="1" applyBorder="1" applyAlignment="1">
      <alignment vertical="center" wrapText="1"/>
    </xf>
    <xf numFmtId="165" fontId="16" fillId="0" borderId="1" xfId="3" applyNumberFormat="1" applyFont="1" applyFill="1" applyBorder="1" applyAlignment="1">
      <alignment horizontal="center" vertical="center" wrapText="1"/>
    </xf>
    <xf numFmtId="168" fontId="2" fillId="0" borderId="0" xfId="2" applyNumberFormat="1"/>
    <xf numFmtId="0" fontId="16" fillId="0" borderId="0" xfId="0" applyFont="1" applyAlignment="1">
      <alignment horizontal="center"/>
    </xf>
    <xf numFmtId="0" fontId="16" fillId="0" borderId="1" xfId="2" applyFont="1" applyFill="1" applyBorder="1" applyAlignment="1">
      <alignment horizontal="center" vertical="center" wrapText="1"/>
    </xf>
    <xf numFmtId="164" fontId="16" fillId="0" borderId="1" xfId="3" applyNumberFormat="1" applyFont="1" applyFill="1" applyBorder="1" applyAlignment="1">
      <alignment horizontal="center" vertical="center" wrapText="1"/>
    </xf>
    <xf numFmtId="164" fontId="24" fillId="0" borderId="1" xfId="5" applyNumberFormat="1" applyFont="1" applyFill="1" applyBorder="1" applyAlignment="1">
      <alignment horizontal="center" vertical="center" wrapText="1"/>
    </xf>
    <xf numFmtId="0" fontId="16" fillId="0" borderId="1" xfId="7" applyFont="1" applyFill="1" applyBorder="1" applyAlignment="1">
      <alignment horizontal="center" vertical="center" wrapText="1"/>
    </xf>
    <xf numFmtId="164" fontId="22" fillId="0" borderId="1" xfId="5" applyNumberFormat="1" applyFont="1" applyFill="1" applyBorder="1" applyAlignment="1">
      <alignment horizontal="center" vertical="center" wrapText="1"/>
    </xf>
    <xf numFmtId="0" fontId="26" fillId="0" borderId="1" xfId="6" quotePrefix="1" applyFont="1" applyBorder="1" applyAlignment="1">
      <alignment horizontal="center" vertical="center" wrapText="1"/>
    </xf>
    <xf numFmtId="0" fontId="26" fillId="0" borderId="1" xfId="6" applyFont="1" applyBorder="1" applyAlignment="1">
      <alignment wrapText="1"/>
    </xf>
    <xf numFmtId="43" fontId="33" fillId="0" borderId="1" xfId="1" applyNumberFormat="1" applyFont="1" applyBorder="1" applyAlignment="1">
      <alignment horizontal="center" vertical="center" wrapText="1"/>
    </xf>
    <xf numFmtId="0" fontId="26" fillId="0" borderId="1" xfId="6" applyFont="1" applyBorder="1" applyAlignment="1">
      <alignment horizontal="left" vertical="center" wrapText="1"/>
    </xf>
    <xf numFmtId="0" fontId="30" fillId="0" borderId="0" xfId="4" applyFont="1"/>
    <xf numFmtId="0" fontId="21" fillId="0" borderId="0" xfId="0" applyFont="1"/>
    <xf numFmtId="0" fontId="22" fillId="0" borderId="0" xfId="4" applyFont="1" applyFill="1" applyAlignment="1">
      <alignment horizontal="left"/>
    </xf>
    <xf numFmtId="0" fontId="21" fillId="0" borderId="0" xfId="4" applyFont="1" applyFill="1" applyAlignment="1">
      <alignment horizontal="left"/>
    </xf>
    <xf numFmtId="164" fontId="21" fillId="0" borderId="0" xfId="0" applyNumberFormat="1" applyFont="1"/>
    <xf numFmtId="0" fontId="22" fillId="0" borderId="0" xfId="4" applyFont="1" applyFill="1"/>
    <xf numFmtId="169" fontId="22" fillId="0" borderId="0" xfId="4" applyNumberFormat="1" applyFont="1" applyFill="1"/>
    <xf numFmtId="164" fontId="22" fillId="0" borderId="0" xfId="5" applyNumberFormat="1" applyFont="1" applyFill="1"/>
    <xf numFmtId="164" fontId="21" fillId="0" borderId="0" xfId="5" applyNumberFormat="1" applyFont="1" applyFill="1"/>
    <xf numFmtId="164" fontId="22" fillId="0" borderId="0" xfId="4" applyNumberFormat="1" applyFont="1" applyFill="1"/>
    <xf numFmtId="0" fontId="36" fillId="0" borderId="0" xfId="0" applyFont="1" applyFill="1"/>
    <xf numFmtId="0" fontId="5" fillId="0" borderId="0" xfId="0" applyFont="1"/>
    <xf numFmtId="166" fontId="37" fillId="0" borderId="0" xfId="0" applyNumberFormat="1" applyFont="1"/>
    <xf numFmtId="172" fontId="36" fillId="0" borderId="0" xfId="0" applyNumberFormat="1" applyFont="1"/>
    <xf numFmtId="168" fontId="36" fillId="0" borderId="0" xfId="0" applyNumberFormat="1" applyFont="1"/>
    <xf numFmtId="172" fontId="36" fillId="0" borderId="0" xfId="0" applyNumberFormat="1" applyFont="1" applyFill="1"/>
    <xf numFmtId="177" fontId="36" fillId="0" borderId="0" xfId="0" applyNumberFormat="1" applyFont="1"/>
    <xf numFmtId="178" fontId="36" fillId="0" borderId="0" xfId="0" applyNumberFormat="1" applyFont="1" applyFill="1"/>
    <xf numFmtId="178" fontId="36" fillId="0" borderId="0" xfId="0" applyNumberFormat="1" applyFont="1"/>
    <xf numFmtId="0" fontId="36" fillId="0" borderId="0" xfId="0" applyFont="1" applyAlignment="1">
      <alignment horizontal="left"/>
    </xf>
    <xf numFmtId="169" fontId="36" fillId="0" borderId="0" xfId="0" applyNumberFormat="1" applyFont="1"/>
    <xf numFmtId="164" fontId="36" fillId="0" borderId="0" xfId="0" applyNumberFormat="1" applyFont="1" applyFill="1"/>
    <xf numFmtId="43" fontId="7" fillId="0" borderId="1" xfId="3" applyNumberFormat="1" applyFont="1" applyBorder="1" applyAlignment="1">
      <alignment horizontal="center" vertical="center" wrapText="1"/>
    </xf>
    <xf numFmtId="43" fontId="9" fillId="0" borderId="1" xfId="3" applyNumberFormat="1" applyFont="1" applyBorder="1" applyAlignment="1">
      <alignment horizontal="center" vertical="center" wrapText="1"/>
    </xf>
    <xf numFmtId="43" fontId="9" fillId="0" borderId="1" xfId="3" applyNumberFormat="1" applyFont="1" applyFill="1" applyBorder="1" applyAlignment="1">
      <alignment horizontal="center" vertical="center" wrapText="1"/>
    </xf>
    <xf numFmtId="43" fontId="9" fillId="0" borderId="1" xfId="3" applyNumberFormat="1" applyFont="1" applyBorder="1" applyAlignment="1">
      <alignment vertical="center" wrapText="1"/>
    </xf>
    <xf numFmtId="43" fontId="7" fillId="0" borderId="1" xfId="3" applyNumberFormat="1" applyFont="1" applyBorder="1" applyAlignment="1">
      <alignment vertical="center" wrapText="1"/>
    </xf>
    <xf numFmtId="0" fontId="33" fillId="0" borderId="1" xfId="6" applyFont="1" applyBorder="1" applyAlignment="1">
      <alignment horizontal="center" vertical="center"/>
    </xf>
    <xf numFmtId="0" fontId="33" fillId="3" borderId="1" xfId="6" quotePrefix="1" applyFont="1" applyFill="1" applyBorder="1" applyAlignment="1">
      <alignment vertical="center" wrapText="1"/>
    </xf>
    <xf numFmtId="0" fontId="33" fillId="3" borderId="1" xfId="6" applyFont="1" applyFill="1" applyBorder="1" applyAlignment="1">
      <alignment vertical="center" wrapText="1"/>
    </xf>
    <xf numFmtId="0" fontId="21" fillId="3" borderId="30" xfId="16" applyFont="1" applyFill="1" applyBorder="1" applyAlignment="1">
      <alignment horizontal="left" vertical="center" wrapText="1"/>
    </xf>
    <xf numFmtId="0" fontId="22" fillId="3" borderId="30" xfId="16" applyFont="1" applyFill="1" applyBorder="1" applyAlignment="1">
      <alignment horizontal="left" vertical="center" wrapText="1"/>
    </xf>
    <xf numFmtId="0" fontId="26" fillId="0" borderId="1" xfId="6" applyFont="1" applyBorder="1" applyAlignment="1">
      <alignment horizontal="center" vertical="center"/>
    </xf>
    <xf numFmtId="0" fontId="26" fillId="3" borderId="1" xfId="6" applyFont="1" applyFill="1" applyBorder="1" applyAlignment="1">
      <alignment vertical="center" wrapText="1"/>
    </xf>
    <xf numFmtId="43" fontId="33" fillId="3" borderId="1" xfId="1" applyNumberFormat="1" applyFont="1" applyFill="1" applyBorder="1" applyAlignment="1">
      <alignment vertical="center"/>
    </xf>
    <xf numFmtId="0" fontId="22" fillId="3" borderId="31" xfId="18" applyFont="1" applyFill="1" applyBorder="1" applyAlignment="1">
      <alignment horizontal="center" vertical="center" wrapText="1"/>
    </xf>
    <xf numFmtId="0" fontId="22" fillId="3" borderId="30" xfId="18" applyFont="1" applyFill="1" applyBorder="1" applyAlignment="1">
      <alignment horizontal="left" vertical="center" wrapText="1"/>
    </xf>
    <xf numFmtId="43" fontId="26" fillId="3" borderId="1" xfId="1" applyNumberFormat="1" applyFont="1" applyFill="1" applyBorder="1" applyAlignment="1">
      <alignment vertical="center"/>
    </xf>
    <xf numFmtId="0" fontId="42" fillId="3" borderId="31" xfId="18" applyFont="1" applyFill="1" applyBorder="1" applyAlignment="1">
      <alignment horizontal="center" vertical="center" wrapText="1"/>
    </xf>
    <xf numFmtId="0" fontId="42" fillId="3" borderId="30" xfId="18" applyFont="1" applyFill="1" applyBorder="1" applyAlignment="1">
      <alignment horizontal="left" vertical="center" wrapText="1"/>
    </xf>
    <xf numFmtId="0" fontId="21" fillId="3" borderId="31" xfId="18" applyFont="1" applyFill="1" applyBorder="1" applyAlignment="1">
      <alignment horizontal="center" vertical="center" wrapText="1"/>
    </xf>
    <xf numFmtId="0" fontId="21" fillId="3" borderId="30" xfId="18" applyFont="1" applyFill="1" applyBorder="1" applyAlignment="1">
      <alignment horizontal="left" vertical="center" wrapText="1"/>
    </xf>
    <xf numFmtId="164" fontId="21" fillId="3" borderId="30" xfId="1" applyNumberFormat="1" applyFont="1" applyFill="1" applyBorder="1" applyAlignment="1">
      <alignment horizontal="left"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0" fontId="26" fillId="0" borderId="1" xfId="0" applyFont="1" applyBorder="1" applyAlignment="1">
      <alignment vertical="center" wrapText="1"/>
    </xf>
    <xf numFmtId="166" fontId="26" fillId="0" borderId="1" xfId="3" applyNumberFormat="1" applyFont="1" applyBorder="1" applyAlignment="1">
      <alignment horizontal="center" vertical="center" wrapText="1"/>
    </xf>
    <xf numFmtId="166" fontId="26" fillId="0" borderId="1" xfId="3" applyNumberFormat="1" applyFont="1" applyFill="1" applyBorder="1" applyAlignment="1">
      <alignment horizontal="center" vertical="center" wrapText="1"/>
    </xf>
    <xf numFmtId="0" fontId="33" fillId="0" borderId="1" xfId="0" applyFont="1" applyBorder="1" applyAlignment="1">
      <alignment horizontal="center" vertical="center" wrapText="1"/>
    </xf>
    <xf numFmtId="166" fontId="33" fillId="0" borderId="1" xfId="3" applyNumberFormat="1" applyFont="1" applyBorder="1" applyAlignment="1">
      <alignment horizontal="center" vertical="center" wrapText="1"/>
    </xf>
    <xf numFmtId="166" fontId="33" fillId="0" borderId="1" xfId="3"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43" fillId="0" borderId="0" xfId="0" applyFont="1" applyAlignment="1">
      <alignment horizontal="left" vertical="center"/>
    </xf>
    <xf numFmtId="0" fontId="38" fillId="0" borderId="0" xfId="0" applyFont="1" applyAlignment="1">
      <alignment horizontal="left" vertical="center"/>
    </xf>
    <xf numFmtId="0" fontId="16" fillId="0" borderId="0" xfId="2" applyFont="1" applyFill="1"/>
    <xf numFmtId="164" fontId="6" fillId="0" borderId="0" xfId="3" applyNumberFormat="1" applyFont="1" applyFill="1"/>
    <xf numFmtId="43" fontId="16" fillId="0" borderId="0" xfId="1" applyFont="1" applyFill="1"/>
    <xf numFmtId="164" fontId="16" fillId="0" borderId="0" xfId="2" applyNumberFormat="1" applyFont="1" applyFill="1"/>
    <xf numFmtId="167" fontId="16" fillId="0" borderId="0" xfId="2" applyNumberFormat="1" applyFont="1" applyFill="1"/>
    <xf numFmtId="166" fontId="16" fillId="0" borderId="0" xfId="1" applyNumberFormat="1" applyFont="1" applyFill="1"/>
    <xf numFmtId="174" fontId="16" fillId="0" borderId="0" xfId="2" applyNumberFormat="1" applyFont="1" applyFill="1"/>
    <xf numFmtId="0" fontId="14" fillId="0" borderId="0" xfId="2" applyFont="1" applyFill="1"/>
    <xf numFmtId="167" fontId="6" fillId="0" borderId="0" xfId="2" applyNumberFormat="1" applyFont="1" applyFill="1"/>
    <xf numFmtId="170" fontId="6" fillId="0" borderId="0" xfId="2" applyNumberFormat="1" applyFont="1" applyFill="1"/>
    <xf numFmtId="165" fontId="6" fillId="0" borderId="0" xfId="2" applyNumberFormat="1" applyFont="1" applyFill="1"/>
    <xf numFmtId="176" fontId="16" fillId="0" borderId="1" xfId="7" applyNumberFormat="1" applyFont="1" applyFill="1" applyBorder="1" applyAlignment="1">
      <alignment horizontal="center" vertical="center" wrapText="1"/>
    </xf>
    <xf numFmtId="176" fontId="16" fillId="0" borderId="1" xfId="7" applyNumberFormat="1" applyFont="1" applyFill="1" applyBorder="1" applyAlignment="1" applyProtection="1">
      <alignment horizontal="center" vertical="center"/>
    </xf>
    <xf numFmtId="176" fontId="16" fillId="0" borderId="1" xfId="7" applyNumberFormat="1" applyFont="1" applyFill="1" applyBorder="1" applyAlignment="1">
      <alignment horizontal="left" vertical="center"/>
    </xf>
    <xf numFmtId="181" fontId="16" fillId="0" borderId="1" xfId="7" applyNumberFormat="1" applyFont="1" applyFill="1" applyBorder="1" applyAlignment="1">
      <alignment horizontal="center" vertical="center"/>
    </xf>
    <xf numFmtId="43" fontId="16" fillId="0" borderId="1" xfId="1" applyFont="1" applyFill="1" applyBorder="1" applyAlignment="1">
      <alignment horizontal="center" vertical="center"/>
    </xf>
    <xf numFmtId="176" fontId="16" fillId="0" borderId="1" xfId="7" applyNumberFormat="1" applyFont="1" applyFill="1" applyBorder="1" applyAlignment="1">
      <alignment horizontal="center" vertical="center"/>
    </xf>
    <xf numFmtId="176" fontId="6" fillId="0" borderId="1" xfId="7" applyNumberFormat="1" applyFont="1" applyBorder="1" applyAlignment="1">
      <alignment horizontal="center" vertical="center"/>
    </xf>
    <xf numFmtId="176" fontId="6" fillId="0" borderId="1" xfId="7" applyNumberFormat="1" applyFont="1" applyBorder="1" applyAlignment="1">
      <alignment horizontal="left" vertical="center"/>
    </xf>
    <xf numFmtId="180" fontId="16" fillId="0" borderId="1" xfId="7" applyNumberFormat="1" applyFont="1" applyBorder="1" applyAlignment="1">
      <alignment horizontal="center" vertical="center"/>
    </xf>
    <xf numFmtId="176" fontId="16" fillId="0" borderId="1" xfId="7" applyNumberFormat="1" applyFont="1" applyBorder="1" applyAlignment="1">
      <alignment horizontal="center" vertical="center"/>
    </xf>
    <xf numFmtId="181" fontId="16" fillId="0" borderId="1" xfId="7" applyNumberFormat="1" applyFont="1" applyBorder="1" applyAlignment="1">
      <alignment horizontal="center" vertical="center"/>
    </xf>
    <xf numFmtId="176" fontId="14" fillId="0" borderId="1" xfId="7" quotePrefix="1" applyNumberFormat="1" applyFont="1" applyBorder="1" applyAlignment="1">
      <alignment horizontal="center" vertical="center"/>
    </xf>
    <xf numFmtId="176" fontId="14" fillId="0" borderId="1" xfId="7" applyNumberFormat="1" applyFont="1" applyBorder="1" applyAlignment="1">
      <alignment horizontal="left" vertical="center"/>
    </xf>
    <xf numFmtId="180" fontId="14" fillId="0" borderId="1" xfId="7" applyNumberFormat="1" applyFont="1" applyBorder="1" applyAlignment="1">
      <alignment horizontal="center"/>
    </xf>
    <xf numFmtId="176" fontId="14" fillId="0" borderId="1" xfId="1" applyNumberFormat="1" applyFont="1" applyFill="1" applyBorder="1" applyAlignment="1">
      <alignment horizontal="center"/>
    </xf>
    <xf numFmtId="180" fontId="14" fillId="0" borderId="1" xfId="7" applyNumberFormat="1" applyFont="1" applyBorder="1"/>
    <xf numFmtId="166" fontId="22" fillId="0" borderId="1" xfId="1" applyNumberFormat="1" applyFont="1" applyFill="1" applyBorder="1" applyAlignment="1">
      <alignment horizontal="center"/>
    </xf>
    <xf numFmtId="166" fontId="21" fillId="0" borderId="1" xfId="1" applyNumberFormat="1" applyFont="1" applyFill="1" applyBorder="1"/>
    <xf numFmtId="166" fontId="16" fillId="0" borderId="1" xfId="3" applyNumberFormat="1" applyFont="1" applyFill="1" applyBorder="1" applyAlignment="1">
      <alignment horizontal="center" vertical="center" wrapText="1"/>
    </xf>
    <xf numFmtId="0" fontId="26" fillId="0" borderId="1" xfId="6" applyFont="1" applyBorder="1" applyAlignment="1">
      <alignment horizontal="center" vertical="center" wrapText="1"/>
    </xf>
    <xf numFmtId="0" fontId="44" fillId="0" borderId="0" xfId="2" applyFont="1"/>
    <xf numFmtId="0" fontId="44" fillId="0" borderId="0" xfId="2" applyFont="1" applyAlignment="1">
      <alignment horizontal="center"/>
    </xf>
    <xf numFmtId="43" fontId="44" fillId="0" borderId="0" xfId="1" applyFont="1"/>
    <xf numFmtId="179" fontId="44" fillId="0" borderId="0" xfId="2" applyNumberFormat="1" applyFont="1"/>
    <xf numFmtId="165" fontId="45" fillId="0" borderId="0" xfId="1" applyNumberFormat="1" applyFont="1"/>
    <xf numFmtId="169" fontId="45" fillId="0" borderId="0" xfId="1" applyNumberFormat="1" applyFont="1"/>
    <xf numFmtId="0" fontId="44" fillId="0" borderId="0" xfId="2" applyFont="1" applyAlignment="1">
      <alignment horizontal="left"/>
    </xf>
    <xf numFmtId="0" fontId="44" fillId="0" borderId="0" xfId="2" applyFont="1" applyFill="1"/>
    <xf numFmtId="182" fontId="44" fillId="0" borderId="0" xfId="2" applyNumberFormat="1" applyFont="1" applyFill="1"/>
    <xf numFmtId="183" fontId="44" fillId="0" borderId="0" xfId="2" applyNumberFormat="1" applyFont="1"/>
    <xf numFmtId="168" fontId="44" fillId="0" borderId="0" xfId="2" applyNumberFormat="1" applyFont="1"/>
    <xf numFmtId="184" fontId="44" fillId="0" borderId="0" xfId="2" applyNumberFormat="1" applyFont="1"/>
    <xf numFmtId="179" fontId="44" fillId="0" borderId="0" xfId="2" applyNumberFormat="1" applyFont="1" applyFill="1"/>
    <xf numFmtId="0" fontId="46" fillId="0" borderId="0" xfId="2" applyFont="1"/>
    <xf numFmtId="169" fontId="44" fillId="0" borderId="0" xfId="2" applyNumberFormat="1" applyFont="1" applyFill="1"/>
    <xf numFmtId="184" fontId="44" fillId="0" borderId="0" xfId="2" applyNumberFormat="1" applyFont="1" applyFill="1"/>
    <xf numFmtId="0" fontId="44" fillId="3" borderId="0" xfId="2" applyFont="1" applyFill="1"/>
    <xf numFmtId="0" fontId="46" fillId="0" borderId="0" xfId="2" applyFont="1" applyFill="1"/>
    <xf numFmtId="166" fontId="16" fillId="0" borderId="1" xfId="1" applyNumberFormat="1" applyFont="1" applyFill="1" applyBorder="1"/>
    <xf numFmtId="166" fontId="22" fillId="0" borderId="1" xfId="1" applyNumberFormat="1" applyFont="1" applyFill="1" applyBorder="1"/>
    <xf numFmtId="166" fontId="22" fillId="0" borderId="1" xfId="3" applyNumberFormat="1" applyFont="1" applyFill="1" applyBorder="1" applyAlignment="1">
      <alignment horizontal="center" vertical="center" wrapText="1"/>
    </xf>
    <xf numFmtId="166" fontId="21" fillId="0" borderId="1" xfId="3" applyNumberFormat="1" applyFont="1" applyFill="1" applyBorder="1" applyAlignment="1">
      <alignment horizontal="center" vertical="center" wrapText="1"/>
    </xf>
    <xf numFmtId="166" fontId="22" fillId="0" borderId="1" xfId="3" applyNumberFormat="1" applyFont="1" applyFill="1" applyBorder="1"/>
    <xf numFmtId="166" fontId="22" fillId="0" borderId="1" xfId="4" applyNumberFormat="1" applyFont="1" applyFill="1" applyBorder="1"/>
    <xf numFmtId="166" fontId="21" fillId="0" borderId="1" xfId="3" applyNumberFormat="1" applyFont="1" applyFill="1" applyBorder="1"/>
    <xf numFmtId="166" fontId="21" fillId="0" borderId="1" xfId="4" applyNumberFormat="1" applyFont="1" applyFill="1" applyBorder="1"/>
    <xf numFmtId="0" fontId="16" fillId="0" borderId="0" xfId="0" applyFont="1" applyAlignment="1">
      <alignment horizontal="center"/>
    </xf>
    <xf numFmtId="0" fontId="14" fillId="0" borderId="0" xfId="0" applyFont="1" applyAlignment="1">
      <alignment horizontal="center"/>
    </xf>
    <xf numFmtId="0" fontId="7" fillId="0" borderId="0" xfId="2" applyFont="1" applyAlignment="1">
      <alignment horizontal="center"/>
    </xf>
    <xf numFmtId="0" fontId="3" fillId="0" borderId="0" xfId="2" applyFont="1" applyAlignment="1">
      <alignment horizontal="center"/>
    </xf>
    <xf numFmtId="0" fontId="12" fillId="0" borderId="2" xfId="2" applyFont="1" applyBorder="1" applyAlignment="1">
      <alignment horizontal="left" vertical="center" wrapText="1"/>
    </xf>
    <xf numFmtId="0" fontId="7" fillId="0" borderId="0" xfId="2" applyFont="1" applyAlignment="1">
      <alignment horizontal="center" vertical="center" wrapText="1"/>
    </xf>
    <xf numFmtId="0" fontId="8" fillId="0" borderId="0" xfId="2" applyFont="1" applyAlignment="1">
      <alignment horizontal="center" vertical="center" wrapText="1"/>
    </xf>
    <xf numFmtId="0" fontId="7" fillId="0" borderId="1" xfId="2" applyFont="1" applyBorder="1" applyAlignment="1">
      <alignment horizontal="center" vertical="center" wrapText="1"/>
    </xf>
    <xf numFmtId="164" fontId="7" fillId="0" borderId="1" xfId="1"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0" fontId="8" fillId="0" borderId="0" xfId="2" applyFont="1" applyAlignment="1">
      <alignment horizontal="left" vertical="center" wrapText="1"/>
    </xf>
    <xf numFmtId="43" fontId="7" fillId="0" borderId="1" xfId="1" applyFont="1" applyBorder="1" applyAlignment="1">
      <alignment horizontal="center" vertical="center" wrapText="1"/>
    </xf>
    <xf numFmtId="0" fontId="16" fillId="0" borderId="0" xfId="2" applyFont="1" applyFill="1" applyAlignment="1">
      <alignment horizontal="center" vertical="center" wrapText="1"/>
    </xf>
    <xf numFmtId="0" fontId="14" fillId="0" borderId="0" xfId="2" applyFont="1" applyFill="1" applyAlignment="1">
      <alignment horizontal="center" vertical="center" wrapText="1"/>
    </xf>
    <xf numFmtId="0" fontId="20" fillId="0" borderId="0" xfId="2" applyFont="1" applyFill="1" applyBorder="1" applyAlignment="1">
      <alignment horizontal="left" vertical="center" wrapText="1"/>
    </xf>
    <xf numFmtId="0" fontId="4" fillId="0" borderId="0" xfId="2" applyFont="1" applyFill="1" applyAlignment="1">
      <alignment horizontal="center"/>
    </xf>
    <xf numFmtId="164" fontId="7" fillId="0" borderId="1" xfId="3" applyNumberFormat="1" applyFont="1" applyBorder="1" applyAlignment="1">
      <alignment horizontal="center" vertical="center" wrapText="1"/>
    </xf>
    <xf numFmtId="0" fontId="16" fillId="0" borderId="0" xfId="2" applyFont="1" applyFill="1" applyAlignment="1">
      <alignment horizontal="center"/>
    </xf>
    <xf numFmtId="0" fontId="20" fillId="0" borderId="2" xfId="2" applyFont="1" applyFill="1" applyBorder="1" applyAlignment="1">
      <alignment horizontal="left" vertical="center" wrapText="1"/>
    </xf>
    <xf numFmtId="0" fontId="16" fillId="0" borderId="1" xfId="2" applyFont="1" applyFill="1" applyBorder="1" applyAlignment="1">
      <alignment horizontal="center" vertical="center" wrapText="1"/>
    </xf>
    <xf numFmtId="164" fontId="16" fillId="0" borderId="1" xfId="3" applyNumberFormat="1" applyFont="1" applyFill="1" applyBorder="1" applyAlignment="1">
      <alignment horizontal="center" vertical="center" wrapText="1"/>
    </xf>
    <xf numFmtId="0" fontId="24" fillId="0" borderId="1" xfId="4" applyFont="1" applyFill="1" applyBorder="1" applyAlignment="1">
      <alignment horizontal="center" vertical="center" wrapText="1"/>
    </xf>
    <xf numFmtId="0" fontId="23" fillId="0" borderId="1" xfId="4" applyFont="1" applyFill="1" applyBorder="1" applyAlignment="1">
      <alignment horizontal="center" vertical="center" wrapText="1"/>
    </xf>
    <xf numFmtId="164" fontId="24" fillId="0" borderId="1" xfId="5" applyNumberFormat="1" applyFont="1" applyFill="1" applyBorder="1" applyAlignment="1">
      <alignment horizontal="center" vertical="center" wrapText="1"/>
    </xf>
    <xf numFmtId="0" fontId="16" fillId="0" borderId="0" xfId="4" applyFont="1" applyFill="1" applyAlignment="1">
      <alignment horizontal="center"/>
    </xf>
    <xf numFmtId="0" fontId="14" fillId="0" borderId="0" xfId="4" applyFont="1" applyFill="1" applyAlignment="1">
      <alignment horizontal="center"/>
    </xf>
    <xf numFmtId="185" fontId="23" fillId="0" borderId="0" xfId="1" applyNumberFormat="1" applyFont="1" applyFill="1" applyBorder="1" applyAlignment="1">
      <alignment horizontal="center"/>
    </xf>
    <xf numFmtId="43" fontId="23" fillId="0" borderId="0" xfId="1" applyFont="1" applyFill="1" applyBorder="1" applyAlignment="1">
      <alignment horizontal="center"/>
    </xf>
    <xf numFmtId="164" fontId="14" fillId="0" borderId="0" xfId="5" applyNumberFormat="1" applyFont="1" applyFill="1" applyBorder="1" applyAlignment="1">
      <alignment horizontal="right"/>
    </xf>
    <xf numFmtId="0" fontId="38" fillId="0" borderId="6" xfId="0" applyFont="1" applyBorder="1" applyAlignment="1">
      <alignment horizontal="right" vertical="center"/>
    </xf>
    <xf numFmtId="0" fontId="26" fillId="0" borderId="0" xfId="0" applyFont="1" applyAlignment="1">
      <alignment horizont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38"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2" fillId="0" borderId="0" xfId="4" applyFont="1" applyFill="1" applyAlignment="1">
      <alignment horizontal="center"/>
    </xf>
    <xf numFmtId="0" fontId="21" fillId="0" borderId="0" xfId="4" applyFont="1" applyFill="1" applyAlignment="1">
      <alignment horizontal="center"/>
    </xf>
    <xf numFmtId="0" fontId="5" fillId="0" borderId="0" xfId="4" applyFont="1" applyFill="1" applyAlignment="1">
      <alignment horizontal="center"/>
    </xf>
    <xf numFmtId="0" fontId="22" fillId="0" borderId="1" xfId="4" applyFont="1" applyFill="1" applyBorder="1" applyAlignment="1">
      <alignment horizontal="center" vertical="center" wrapText="1"/>
    </xf>
    <xf numFmtId="0" fontId="30" fillId="0" borderId="1" xfId="4" applyFont="1" applyFill="1" applyBorder="1" applyAlignment="1">
      <alignment horizontal="center" vertical="center" wrapText="1"/>
    </xf>
    <xf numFmtId="0" fontId="22" fillId="0" borderId="7" xfId="4" applyFont="1" applyFill="1" applyBorder="1" applyAlignment="1">
      <alignment horizontal="center" vertical="center" wrapText="1"/>
    </xf>
    <xf numFmtId="0" fontId="22" fillId="0" borderId="8" xfId="4" applyFont="1" applyFill="1" applyBorder="1" applyAlignment="1">
      <alignment horizontal="center" vertical="center" wrapText="1"/>
    </xf>
    <xf numFmtId="0" fontId="22" fillId="0" borderId="9" xfId="4" applyFont="1" applyFill="1" applyBorder="1" applyAlignment="1">
      <alignment horizontal="center" vertical="center" wrapText="1"/>
    </xf>
    <xf numFmtId="164" fontId="22" fillId="0" borderId="1" xfId="5" applyNumberFormat="1" applyFont="1" applyFill="1" applyBorder="1" applyAlignment="1">
      <alignment horizontal="center" vertical="center" wrapText="1"/>
    </xf>
    <xf numFmtId="164" fontId="22" fillId="0" borderId="3" xfId="5" applyNumberFormat="1" applyFont="1" applyFill="1" applyBorder="1" applyAlignment="1">
      <alignment horizontal="center" vertical="center" wrapText="1"/>
    </xf>
    <xf numFmtId="164" fontId="22" fillId="0" borderId="4" xfId="5" applyNumberFormat="1" applyFont="1" applyFill="1" applyBorder="1" applyAlignment="1">
      <alignment horizontal="center" vertical="center" wrapText="1"/>
    </xf>
    <xf numFmtId="0" fontId="8" fillId="0" borderId="6" xfId="0" applyFont="1" applyBorder="1" applyAlignment="1">
      <alignment horizontal="right" vertical="center"/>
    </xf>
    <xf numFmtId="0" fontId="22" fillId="0" borderId="0" xfId="9" applyFont="1" applyFill="1" applyAlignment="1">
      <alignment horizontal="center"/>
    </xf>
    <xf numFmtId="0" fontId="26" fillId="0" borderId="1" xfId="6" applyFont="1" applyBorder="1" applyAlignment="1">
      <alignment horizontal="center" vertical="center" wrapText="1"/>
    </xf>
    <xf numFmtId="0" fontId="26" fillId="0" borderId="0" xfId="6" applyFont="1" applyAlignment="1">
      <alignment horizontal="center"/>
    </xf>
    <xf numFmtId="0" fontId="26" fillId="0" borderId="0" xfId="6" applyFont="1" applyAlignment="1">
      <alignment horizontal="center" vertical="center" wrapText="1"/>
    </xf>
    <xf numFmtId="0" fontId="38" fillId="0" borderId="0" xfId="6" applyFont="1" applyAlignment="1">
      <alignment horizontal="center" vertical="center" wrapText="1"/>
    </xf>
    <xf numFmtId="176" fontId="6" fillId="0" borderId="1" xfId="7" applyNumberFormat="1" applyFont="1" applyFill="1" applyBorder="1" applyAlignment="1" applyProtection="1">
      <alignment horizontal="center" vertical="center" wrapText="1"/>
    </xf>
    <xf numFmtId="0" fontId="14" fillId="0" borderId="0" xfId="0" applyFont="1" applyAlignment="1">
      <alignment horizontal="center" vertical="center" wrapText="1"/>
    </xf>
    <xf numFmtId="0" fontId="16" fillId="0" borderId="0" xfId="10" applyFont="1" applyAlignment="1">
      <alignment horizontal="center"/>
    </xf>
    <xf numFmtId="0" fontId="16" fillId="0" borderId="0" xfId="7" applyNumberFormat="1" applyFont="1" applyFill="1" applyAlignment="1">
      <alignment horizontal="center" vertical="center" wrapText="1"/>
    </xf>
    <xf numFmtId="0" fontId="8" fillId="0" borderId="0" xfId="0" applyFont="1" applyBorder="1" applyAlignment="1">
      <alignment horizontal="right" vertical="center"/>
    </xf>
  </cellXfs>
  <cellStyles count="21">
    <cellStyle name="AutoFormat-Optionen" xfId="15"/>
    <cellStyle name="Comma" xfId="1" builtinId="3"/>
    <cellStyle name="Comma 10" xfId="3"/>
    <cellStyle name="Comma 2" xfId="20"/>
    <cellStyle name="Comma 3" xfId="5"/>
    <cellStyle name="Comma 4" xfId="8"/>
    <cellStyle name="Comma 5" xfId="11"/>
    <cellStyle name="Normal" xfId="0" builtinId="0"/>
    <cellStyle name="Normal 10" xfId="19"/>
    <cellStyle name="Normal 2 2" xfId="18"/>
    <cellStyle name="Normal 2 30" xfId="17"/>
    <cellStyle name="Normal 2_BIỂU MẪU QT THEO NĐ 31 (1). TIN" xfId="14"/>
    <cellStyle name="Normal 3" xfId="4"/>
    <cellStyle name="Normal 3_quyet toan 2018-NĐ 31-chuẩn" xfId="9"/>
    <cellStyle name="Normal 4" xfId="7"/>
    <cellStyle name="Normal 4 18" xfId="16"/>
    <cellStyle name="Normal 6" xfId="10"/>
    <cellStyle name="Normal 6 6" xfId="13"/>
    <cellStyle name="Normal_Bieu DT 2009 (HDND)" xfId="12"/>
    <cellStyle name="Normal_BIỂU MẪU QT THEO NĐ 31" xfId="2"/>
    <cellStyle name="Normal_BIỂU MẪU QT THEO NĐ 31 (1). TIN"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1109663</xdr:colOff>
      <xdr:row>1</xdr:row>
      <xdr:rowOff>47625</xdr:rowOff>
    </xdr:from>
    <xdr:to>
      <xdr:col>1</xdr:col>
      <xdr:colOff>1985963</xdr:colOff>
      <xdr:row>1</xdr:row>
      <xdr:rowOff>47625</xdr:rowOff>
    </xdr:to>
    <xdr:cxnSp macro="">
      <xdr:nvCxnSpPr>
        <xdr:cNvPr id="3" name="Straight Connector 2">
          <a:extLst>
            <a:ext uri="{FF2B5EF4-FFF2-40B4-BE49-F238E27FC236}">
              <a16:creationId xmlns:a16="http://schemas.microsoft.com/office/drawing/2014/main" id="{F8E1D099-8BF3-4664-99DC-85CA6F1C61AD}"/>
            </a:ext>
          </a:extLst>
        </xdr:cNvPr>
        <xdr:cNvCxnSpPr/>
      </xdr:nvCxnSpPr>
      <xdr:spPr>
        <a:xfrm>
          <a:off x="1585913" y="242888"/>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358140</xdr:colOff>
      <xdr:row>1</xdr:row>
      <xdr:rowOff>30480</xdr:rowOff>
    </xdr:from>
    <xdr:to>
      <xdr:col>1</xdr:col>
      <xdr:colOff>982980</xdr:colOff>
      <xdr:row>1</xdr:row>
      <xdr:rowOff>30480</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708660" y="205740"/>
          <a:ext cx="624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365760</xdr:colOff>
      <xdr:row>1</xdr:row>
      <xdr:rowOff>83820</xdr:rowOff>
    </xdr:from>
    <xdr:to>
      <xdr:col>1</xdr:col>
      <xdr:colOff>1043940</xdr:colOff>
      <xdr:row>1</xdr:row>
      <xdr:rowOff>83820</xdr:rowOff>
    </xdr:to>
    <xdr:cxnSp macro="">
      <xdr:nvCxnSpPr>
        <xdr:cNvPr id="2" name="Straight Connector 2">
          <a:extLst>
            <a:ext uri="{FF2B5EF4-FFF2-40B4-BE49-F238E27FC236}">
              <a16:creationId xmlns:a16="http://schemas.microsoft.com/office/drawing/2014/main" id="{00000000-0008-0000-1100-000002000000}"/>
            </a:ext>
          </a:extLst>
        </xdr:cNvPr>
        <xdr:cNvCxnSpPr>
          <a:cxnSpLocks noChangeShapeType="1"/>
        </xdr:cNvCxnSpPr>
      </xdr:nvCxnSpPr>
      <xdr:spPr bwMode="auto">
        <a:xfrm>
          <a:off x="365760" y="434340"/>
          <a:ext cx="121158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868680</xdr:colOff>
      <xdr:row>1</xdr:row>
      <xdr:rowOff>45720</xdr:rowOff>
    </xdr:from>
    <xdr:to>
      <xdr:col>1</xdr:col>
      <xdr:colOff>1775460</xdr:colOff>
      <xdr:row>1</xdr:row>
      <xdr:rowOff>45720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1287780" y="259080"/>
          <a:ext cx="9067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885825</xdr:colOff>
      <xdr:row>1</xdr:row>
      <xdr:rowOff>66675</xdr:rowOff>
    </xdr:from>
    <xdr:to>
      <xdr:col>1</xdr:col>
      <xdr:colOff>1719263</xdr:colOff>
      <xdr:row>1</xdr:row>
      <xdr:rowOff>66675</xdr:rowOff>
    </xdr:to>
    <xdr:cxnSp macro="">
      <xdr:nvCxnSpPr>
        <xdr:cNvPr id="4" name="Straight Connector 3">
          <a:extLst>
            <a:ext uri="{FF2B5EF4-FFF2-40B4-BE49-F238E27FC236}">
              <a16:creationId xmlns:a16="http://schemas.microsoft.com/office/drawing/2014/main" id="{C2D186D5-FCF9-4B13-9E6A-17054F8D1968}"/>
            </a:ext>
          </a:extLst>
        </xdr:cNvPr>
        <xdr:cNvCxnSpPr/>
      </xdr:nvCxnSpPr>
      <xdr:spPr>
        <a:xfrm>
          <a:off x="1219200" y="323850"/>
          <a:ext cx="8334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1181100</xdr:colOff>
      <xdr:row>1</xdr:row>
      <xdr:rowOff>53340</xdr:rowOff>
    </xdr:from>
    <xdr:to>
      <xdr:col>1</xdr:col>
      <xdr:colOff>1950720</xdr:colOff>
      <xdr:row>1</xdr:row>
      <xdr:rowOff>53340</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1607820" y="266700"/>
          <a:ext cx="7696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960120</xdr:colOff>
      <xdr:row>1</xdr:row>
      <xdr:rowOff>38100</xdr:rowOff>
    </xdr:from>
    <xdr:to>
      <xdr:col>1</xdr:col>
      <xdr:colOff>1638300</xdr:colOff>
      <xdr:row>1</xdr:row>
      <xdr:rowOff>38100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1379220" y="281940"/>
          <a:ext cx="6781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982980</xdr:colOff>
      <xdr:row>1</xdr:row>
      <xdr:rowOff>60960</xdr:rowOff>
    </xdr:from>
    <xdr:to>
      <xdr:col>1</xdr:col>
      <xdr:colOff>1485900</xdr:colOff>
      <xdr:row>1</xdr:row>
      <xdr:rowOff>60960</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1432560" y="259080"/>
          <a:ext cx="5029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876300</xdr:colOff>
      <xdr:row>1</xdr:row>
      <xdr:rowOff>68580</xdr:rowOff>
    </xdr:from>
    <xdr:to>
      <xdr:col>1</xdr:col>
      <xdr:colOff>1554480</xdr:colOff>
      <xdr:row>1</xdr:row>
      <xdr:rowOff>68580</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1203960" y="266700"/>
          <a:ext cx="6781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274320</xdr:colOff>
      <xdr:row>1</xdr:row>
      <xdr:rowOff>30480</xdr:rowOff>
    </xdr:from>
    <xdr:to>
      <xdr:col>1</xdr:col>
      <xdr:colOff>1066800</xdr:colOff>
      <xdr:row>1</xdr:row>
      <xdr:rowOff>30480</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617220" y="205740"/>
          <a:ext cx="7924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464820</xdr:colOff>
      <xdr:row>1</xdr:row>
      <xdr:rowOff>45720</xdr:rowOff>
    </xdr:from>
    <xdr:to>
      <xdr:col>1</xdr:col>
      <xdr:colOff>1059180</xdr:colOff>
      <xdr:row>1</xdr:row>
      <xdr:rowOff>45720</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38200" y="220980"/>
          <a:ext cx="594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8"/>
  <sheetViews>
    <sheetView topLeftCell="A40" workbookViewId="0">
      <selection activeCell="G10" sqref="G10"/>
    </sheetView>
  </sheetViews>
  <sheetFormatPr defaultColWidth="10" defaultRowHeight="15.75"/>
  <cols>
    <col min="1" max="1" width="6.7109375" style="109" customWidth="1"/>
    <col min="2" max="2" width="49.85546875" style="109" customWidth="1"/>
    <col min="3" max="3" width="45.85546875" style="109" customWidth="1"/>
    <col min="4" max="256" width="10" style="109"/>
    <col min="257" max="257" width="6.7109375" style="109" customWidth="1"/>
    <col min="258" max="258" width="49.85546875" style="109" customWidth="1"/>
    <col min="259" max="259" width="45.85546875" style="109" customWidth="1"/>
    <col min="260" max="512" width="10" style="109"/>
    <col min="513" max="513" width="6.7109375" style="109" customWidth="1"/>
    <col min="514" max="514" width="49.85546875" style="109" customWidth="1"/>
    <col min="515" max="515" width="45.85546875" style="109" customWidth="1"/>
    <col min="516" max="768" width="10" style="109"/>
    <col min="769" max="769" width="6.7109375" style="109" customWidth="1"/>
    <col min="770" max="770" width="49.85546875" style="109" customWidth="1"/>
    <col min="771" max="771" width="45.85546875" style="109" customWidth="1"/>
    <col min="772" max="1024" width="10" style="109"/>
    <col min="1025" max="1025" width="6.7109375" style="109" customWidth="1"/>
    <col min="1026" max="1026" width="49.85546875" style="109" customWidth="1"/>
    <col min="1027" max="1027" width="45.85546875" style="109" customWidth="1"/>
    <col min="1028" max="1280" width="10" style="109"/>
    <col min="1281" max="1281" width="6.7109375" style="109" customWidth="1"/>
    <col min="1282" max="1282" width="49.85546875" style="109" customWidth="1"/>
    <col min="1283" max="1283" width="45.85546875" style="109" customWidth="1"/>
    <col min="1284" max="1536" width="10" style="109"/>
    <col min="1537" max="1537" width="6.7109375" style="109" customWidth="1"/>
    <col min="1538" max="1538" width="49.85546875" style="109" customWidth="1"/>
    <col min="1539" max="1539" width="45.85546875" style="109" customWidth="1"/>
    <col min="1540" max="1792" width="10" style="109"/>
    <col min="1793" max="1793" width="6.7109375" style="109" customWidth="1"/>
    <col min="1794" max="1794" width="49.85546875" style="109" customWidth="1"/>
    <col min="1795" max="1795" width="45.85546875" style="109" customWidth="1"/>
    <col min="1796" max="2048" width="10" style="109"/>
    <col min="2049" max="2049" width="6.7109375" style="109" customWidth="1"/>
    <col min="2050" max="2050" width="49.85546875" style="109" customWidth="1"/>
    <col min="2051" max="2051" width="45.85546875" style="109" customWidth="1"/>
    <col min="2052" max="2304" width="10" style="109"/>
    <col min="2305" max="2305" width="6.7109375" style="109" customWidth="1"/>
    <col min="2306" max="2306" width="49.85546875" style="109" customWidth="1"/>
    <col min="2307" max="2307" width="45.85546875" style="109" customWidth="1"/>
    <col min="2308" max="2560" width="10" style="109"/>
    <col min="2561" max="2561" width="6.7109375" style="109" customWidth="1"/>
    <col min="2562" max="2562" width="49.85546875" style="109" customWidth="1"/>
    <col min="2563" max="2563" width="45.85546875" style="109" customWidth="1"/>
    <col min="2564" max="2816" width="10" style="109"/>
    <col min="2817" max="2817" width="6.7109375" style="109" customWidth="1"/>
    <col min="2818" max="2818" width="49.85546875" style="109" customWidth="1"/>
    <col min="2819" max="2819" width="45.85546875" style="109" customWidth="1"/>
    <col min="2820" max="3072" width="10" style="109"/>
    <col min="3073" max="3073" width="6.7109375" style="109" customWidth="1"/>
    <col min="3074" max="3074" width="49.85546875" style="109" customWidth="1"/>
    <col min="3075" max="3075" width="45.85546875" style="109" customWidth="1"/>
    <col min="3076" max="3328" width="10" style="109"/>
    <col min="3329" max="3329" width="6.7109375" style="109" customWidth="1"/>
    <col min="3330" max="3330" width="49.85546875" style="109" customWidth="1"/>
    <col min="3331" max="3331" width="45.85546875" style="109" customWidth="1"/>
    <col min="3332" max="3584" width="10" style="109"/>
    <col min="3585" max="3585" width="6.7109375" style="109" customWidth="1"/>
    <col min="3586" max="3586" width="49.85546875" style="109" customWidth="1"/>
    <col min="3587" max="3587" width="45.85546875" style="109" customWidth="1"/>
    <col min="3588" max="3840" width="10" style="109"/>
    <col min="3841" max="3841" width="6.7109375" style="109" customWidth="1"/>
    <col min="3842" max="3842" width="49.85546875" style="109" customWidth="1"/>
    <col min="3843" max="3843" width="45.85546875" style="109" customWidth="1"/>
    <col min="3844" max="4096" width="10" style="109"/>
    <col min="4097" max="4097" width="6.7109375" style="109" customWidth="1"/>
    <col min="4098" max="4098" width="49.85546875" style="109" customWidth="1"/>
    <col min="4099" max="4099" width="45.85546875" style="109" customWidth="1"/>
    <col min="4100" max="4352" width="10" style="109"/>
    <col min="4353" max="4353" width="6.7109375" style="109" customWidth="1"/>
    <col min="4354" max="4354" width="49.85546875" style="109" customWidth="1"/>
    <col min="4355" max="4355" width="45.85546875" style="109" customWidth="1"/>
    <col min="4356" max="4608" width="10" style="109"/>
    <col min="4609" max="4609" width="6.7109375" style="109" customWidth="1"/>
    <col min="4610" max="4610" width="49.85546875" style="109" customWidth="1"/>
    <col min="4611" max="4611" width="45.85546875" style="109" customWidth="1"/>
    <col min="4612" max="4864" width="10" style="109"/>
    <col min="4865" max="4865" width="6.7109375" style="109" customWidth="1"/>
    <col min="4866" max="4866" width="49.85546875" style="109" customWidth="1"/>
    <col min="4867" max="4867" width="45.85546875" style="109" customWidth="1"/>
    <col min="4868" max="5120" width="10" style="109"/>
    <col min="5121" max="5121" width="6.7109375" style="109" customWidth="1"/>
    <col min="5122" max="5122" width="49.85546875" style="109" customWidth="1"/>
    <col min="5123" max="5123" width="45.85546875" style="109" customWidth="1"/>
    <col min="5124" max="5376" width="10" style="109"/>
    <col min="5377" max="5377" width="6.7109375" style="109" customWidth="1"/>
    <col min="5378" max="5378" width="49.85546875" style="109" customWidth="1"/>
    <col min="5379" max="5379" width="45.85546875" style="109" customWidth="1"/>
    <col min="5380" max="5632" width="10" style="109"/>
    <col min="5633" max="5633" width="6.7109375" style="109" customWidth="1"/>
    <col min="5634" max="5634" width="49.85546875" style="109" customWidth="1"/>
    <col min="5635" max="5635" width="45.85546875" style="109" customWidth="1"/>
    <col min="5636" max="5888" width="10" style="109"/>
    <col min="5889" max="5889" width="6.7109375" style="109" customWidth="1"/>
    <col min="5890" max="5890" width="49.85546875" style="109" customWidth="1"/>
    <col min="5891" max="5891" width="45.85546875" style="109" customWidth="1"/>
    <col min="5892" max="6144" width="10" style="109"/>
    <col min="6145" max="6145" width="6.7109375" style="109" customWidth="1"/>
    <col min="6146" max="6146" width="49.85546875" style="109" customWidth="1"/>
    <col min="6147" max="6147" width="45.85546875" style="109" customWidth="1"/>
    <col min="6148" max="6400" width="10" style="109"/>
    <col min="6401" max="6401" width="6.7109375" style="109" customWidth="1"/>
    <col min="6402" max="6402" width="49.85546875" style="109" customWidth="1"/>
    <col min="6403" max="6403" width="45.85546875" style="109" customWidth="1"/>
    <col min="6404" max="6656" width="10" style="109"/>
    <col min="6657" max="6657" width="6.7109375" style="109" customWidth="1"/>
    <col min="6658" max="6658" width="49.85546875" style="109" customWidth="1"/>
    <col min="6659" max="6659" width="45.85546875" style="109" customWidth="1"/>
    <col min="6660" max="6912" width="10" style="109"/>
    <col min="6913" max="6913" width="6.7109375" style="109" customWidth="1"/>
    <col min="6914" max="6914" width="49.85546875" style="109" customWidth="1"/>
    <col min="6915" max="6915" width="45.85546875" style="109" customWidth="1"/>
    <col min="6916" max="7168" width="10" style="109"/>
    <col min="7169" max="7169" width="6.7109375" style="109" customWidth="1"/>
    <col min="7170" max="7170" width="49.85546875" style="109" customWidth="1"/>
    <col min="7171" max="7171" width="45.85546875" style="109" customWidth="1"/>
    <col min="7172" max="7424" width="10" style="109"/>
    <col min="7425" max="7425" width="6.7109375" style="109" customWidth="1"/>
    <col min="7426" max="7426" width="49.85546875" style="109" customWidth="1"/>
    <col min="7427" max="7427" width="45.85546875" style="109" customWidth="1"/>
    <col min="7428" max="7680" width="10" style="109"/>
    <col min="7681" max="7681" width="6.7109375" style="109" customWidth="1"/>
    <col min="7682" max="7682" width="49.85546875" style="109" customWidth="1"/>
    <col min="7683" max="7683" width="45.85546875" style="109" customWidth="1"/>
    <col min="7684" max="7936" width="10" style="109"/>
    <col min="7937" max="7937" width="6.7109375" style="109" customWidth="1"/>
    <col min="7938" max="7938" width="49.85546875" style="109" customWidth="1"/>
    <col min="7939" max="7939" width="45.85546875" style="109" customWidth="1"/>
    <col min="7940" max="8192" width="10" style="109"/>
    <col min="8193" max="8193" width="6.7109375" style="109" customWidth="1"/>
    <col min="8194" max="8194" width="49.85546875" style="109" customWidth="1"/>
    <col min="8195" max="8195" width="45.85546875" style="109" customWidth="1"/>
    <col min="8196" max="8448" width="10" style="109"/>
    <col min="8449" max="8449" width="6.7109375" style="109" customWidth="1"/>
    <col min="8450" max="8450" width="49.85546875" style="109" customWidth="1"/>
    <col min="8451" max="8451" width="45.85546875" style="109" customWidth="1"/>
    <col min="8452" max="8704" width="10" style="109"/>
    <col min="8705" max="8705" width="6.7109375" style="109" customWidth="1"/>
    <col min="8706" max="8706" width="49.85546875" style="109" customWidth="1"/>
    <col min="8707" max="8707" width="45.85546875" style="109" customWidth="1"/>
    <col min="8708" max="8960" width="10" style="109"/>
    <col min="8961" max="8961" width="6.7109375" style="109" customWidth="1"/>
    <col min="8962" max="8962" width="49.85546875" style="109" customWidth="1"/>
    <col min="8963" max="8963" width="45.85546875" style="109" customWidth="1"/>
    <col min="8964" max="9216" width="10" style="109"/>
    <col min="9217" max="9217" width="6.7109375" style="109" customWidth="1"/>
    <col min="9218" max="9218" width="49.85546875" style="109" customWidth="1"/>
    <col min="9219" max="9219" width="45.85546875" style="109" customWidth="1"/>
    <col min="9220" max="9472" width="10" style="109"/>
    <col min="9473" max="9473" width="6.7109375" style="109" customWidth="1"/>
    <col min="9474" max="9474" width="49.85546875" style="109" customWidth="1"/>
    <col min="9475" max="9475" width="45.85546875" style="109" customWidth="1"/>
    <col min="9476" max="9728" width="10" style="109"/>
    <col min="9729" max="9729" width="6.7109375" style="109" customWidth="1"/>
    <col min="9730" max="9730" width="49.85546875" style="109" customWidth="1"/>
    <col min="9731" max="9731" width="45.85546875" style="109" customWidth="1"/>
    <col min="9732" max="9984" width="10" style="109"/>
    <col min="9985" max="9985" width="6.7109375" style="109" customWidth="1"/>
    <col min="9986" max="9986" width="49.85546875" style="109" customWidth="1"/>
    <col min="9987" max="9987" width="45.85546875" style="109" customWidth="1"/>
    <col min="9988" max="10240" width="10" style="109"/>
    <col min="10241" max="10241" width="6.7109375" style="109" customWidth="1"/>
    <col min="10242" max="10242" width="49.85546875" style="109" customWidth="1"/>
    <col min="10243" max="10243" width="45.85546875" style="109" customWidth="1"/>
    <col min="10244" max="10496" width="10" style="109"/>
    <col min="10497" max="10497" width="6.7109375" style="109" customWidth="1"/>
    <col min="10498" max="10498" width="49.85546875" style="109" customWidth="1"/>
    <col min="10499" max="10499" width="45.85546875" style="109" customWidth="1"/>
    <col min="10500" max="10752" width="10" style="109"/>
    <col min="10753" max="10753" width="6.7109375" style="109" customWidth="1"/>
    <col min="10754" max="10754" width="49.85546875" style="109" customWidth="1"/>
    <col min="10755" max="10755" width="45.85546875" style="109" customWidth="1"/>
    <col min="10756" max="11008" width="10" style="109"/>
    <col min="11009" max="11009" width="6.7109375" style="109" customWidth="1"/>
    <col min="11010" max="11010" width="49.85546875" style="109" customWidth="1"/>
    <col min="11011" max="11011" width="45.85546875" style="109" customWidth="1"/>
    <col min="11012" max="11264" width="10" style="109"/>
    <col min="11265" max="11265" width="6.7109375" style="109" customWidth="1"/>
    <col min="11266" max="11266" width="49.85546875" style="109" customWidth="1"/>
    <col min="11267" max="11267" width="45.85546875" style="109" customWidth="1"/>
    <col min="11268" max="11520" width="10" style="109"/>
    <col min="11521" max="11521" width="6.7109375" style="109" customWidth="1"/>
    <col min="11522" max="11522" width="49.85546875" style="109" customWidth="1"/>
    <col min="11523" max="11523" width="45.85546875" style="109" customWidth="1"/>
    <col min="11524" max="11776" width="10" style="109"/>
    <col min="11777" max="11777" width="6.7109375" style="109" customWidth="1"/>
    <col min="11778" max="11778" width="49.85546875" style="109" customWidth="1"/>
    <col min="11779" max="11779" width="45.85546875" style="109" customWidth="1"/>
    <col min="11780" max="12032" width="10" style="109"/>
    <col min="12033" max="12033" width="6.7109375" style="109" customWidth="1"/>
    <col min="12034" max="12034" width="49.85546875" style="109" customWidth="1"/>
    <col min="12035" max="12035" width="45.85546875" style="109" customWidth="1"/>
    <col min="12036" max="12288" width="10" style="109"/>
    <col min="12289" max="12289" width="6.7109375" style="109" customWidth="1"/>
    <col min="12290" max="12290" width="49.85546875" style="109" customWidth="1"/>
    <col min="12291" max="12291" width="45.85546875" style="109" customWidth="1"/>
    <col min="12292" max="12544" width="10" style="109"/>
    <col min="12545" max="12545" width="6.7109375" style="109" customWidth="1"/>
    <col min="12546" max="12546" width="49.85546875" style="109" customWidth="1"/>
    <col min="12547" max="12547" width="45.85546875" style="109" customWidth="1"/>
    <col min="12548" max="12800" width="10" style="109"/>
    <col min="12801" max="12801" width="6.7109375" style="109" customWidth="1"/>
    <col min="12802" max="12802" width="49.85546875" style="109" customWidth="1"/>
    <col min="12803" max="12803" width="45.85546875" style="109" customWidth="1"/>
    <col min="12804" max="13056" width="10" style="109"/>
    <col min="13057" max="13057" width="6.7109375" style="109" customWidth="1"/>
    <col min="13058" max="13058" width="49.85546875" style="109" customWidth="1"/>
    <col min="13059" max="13059" width="45.85546875" style="109" customWidth="1"/>
    <col min="13060" max="13312" width="10" style="109"/>
    <col min="13313" max="13313" width="6.7109375" style="109" customWidth="1"/>
    <col min="13314" max="13314" width="49.85546875" style="109" customWidth="1"/>
    <col min="13315" max="13315" width="45.85546875" style="109" customWidth="1"/>
    <col min="13316" max="13568" width="10" style="109"/>
    <col min="13569" max="13569" width="6.7109375" style="109" customWidth="1"/>
    <col min="13570" max="13570" width="49.85546875" style="109" customWidth="1"/>
    <col min="13571" max="13571" width="45.85546875" style="109" customWidth="1"/>
    <col min="13572" max="13824" width="10" style="109"/>
    <col min="13825" max="13825" width="6.7109375" style="109" customWidth="1"/>
    <col min="13826" max="13826" width="49.85546875" style="109" customWidth="1"/>
    <col min="13827" max="13827" width="45.85546875" style="109" customWidth="1"/>
    <col min="13828" max="14080" width="10" style="109"/>
    <col min="14081" max="14081" width="6.7109375" style="109" customWidth="1"/>
    <col min="14082" max="14082" width="49.85546875" style="109" customWidth="1"/>
    <col min="14083" max="14083" width="45.85546875" style="109" customWidth="1"/>
    <col min="14084" max="14336" width="10" style="109"/>
    <col min="14337" max="14337" width="6.7109375" style="109" customWidth="1"/>
    <col min="14338" max="14338" width="49.85546875" style="109" customWidth="1"/>
    <col min="14339" max="14339" width="45.85546875" style="109" customWidth="1"/>
    <col min="14340" max="14592" width="10" style="109"/>
    <col min="14593" max="14593" width="6.7109375" style="109" customWidth="1"/>
    <col min="14594" max="14594" width="49.85546875" style="109" customWidth="1"/>
    <col min="14595" max="14595" width="45.85546875" style="109" customWidth="1"/>
    <col min="14596" max="14848" width="10" style="109"/>
    <col min="14849" max="14849" width="6.7109375" style="109" customWidth="1"/>
    <col min="14850" max="14850" width="49.85546875" style="109" customWidth="1"/>
    <col min="14851" max="14851" width="45.85546875" style="109" customWidth="1"/>
    <col min="14852" max="15104" width="10" style="109"/>
    <col min="15105" max="15105" width="6.7109375" style="109" customWidth="1"/>
    <col min="15106" max="15106" width="49.85546875" style="109" customWidth="1"/>
    <col min="15107" max="15107" width="45.85546875" style="109" customWidth="1"/>
    <col min="15108" max="15360" width="10" style="109"/>
    <col min="15361" max="15361" width="6.7109375" style="109" customWidth="1"/>
    <col min="15362" max="15362" width="49.85546875" style="109" customWidth="1"/>
    <col min="15363" max="15363" width="45.85546875" style="109" customWidth="1"/>
    <col min="15364" max="15616" width="10" style="109"/>
    <col min="15617" max="15617" width="6.7109375" style="109" customWidth="1"/>
    <col min="15618" max="15618" width="49.85546875" style="109" customWidth="1"/>
    <col min="15619" max="15619" width="45.85546875" style="109" customWidth="1"/>
    <col min="15620" max="15872" width="10" style="109"/>
    <col min="15873" max="15873" width="6.7109375" style="109" customWidth="1"/>
    <col min="15874" max="15874" width="49.85546875" style="109" customWidth="1"/>
    <col min="15875" max="15875" width="45.85546875" style="109" customWidth="1"/>
    <col min="15876" max="16128" width="10" style="109"/>
    <col min="16129" max="16129" width="6.7109375" style="109" customWidth="1"/>
    <col min="16130" max="16130" width="49.85546875" style="109" customWidth="1"/>
    <col min="16131" max="16131" width="45.85546875" style="109" customWidth="1"/>
    <col min="16132" max="16384" width="10" style="109"/>
  </cols>
  <sheetData>
    <row r="1" spans="1:3">
      <c r="A1" s="353" t="s">
        <v>517</v>
      </c>
      <c r="B1" s="353"/>
    </row>
    <row r="2" spans="1:3">
      <c r="A2" s="210"/>
    </row>
    <row r="4" spans="1:3">
      <c r="A4" s="351" t="s">
        <v>394</v>
      </c>
      <c r="B4" s="351"/>
      <c r="C4" s="351"/>
    </row>
    <row r="5" spans="1:3">
      <c r="A5" s="352" t="s">
        <v>516</v>
      </c>
      <c r="B5" s="352"/>
      <c r="C5" s="352"/>
    </row>
    <row r="7" spans="1:3" s="210" customFormat="1">
      <c r="A7" s="211" t="s">
        <v>0</v>
      </c>
      <c r="B7" s="211" t="s">
        <v>1</v>
      </c>
      <c r="C7" s="211" t="s">
        <v>2</v>
      </c>
    </row>
    <row r="8" spans="1:3" ht="31.5">
      <c r="A8" s="212" t="s">
        <v>3</v>
      </c>
      <c r="B8" s="211" t="s">
        <v>395</v>
      </c>
      <c r="C8" s="2"/>
    </row>
    <row r="9" spans="1:3" ht="31.5">
      <c r="A9" s="213">
        <v>1</v>
      </c>
      <c r="B9" s="214" t="s">
        <v>4</v>
      </c>
      <c r="C9" s="2" t="s">
        <v>396</v>
      </c>
    </row>
    <row r="10" spans="1:3" ht="47.25">
      <c r="A10" s="213">
        <v>2</v>
      </c>
      <c r="B10" s="214" t="s">
        <v>5</v>
      </c>
      <c r="C10" s="2" t="s">
        <v>397</v>
      </c>
    </row>
    <row r="11" spans="1:3" ht="31.5">
      <c r="A11" s="213">
        <v>3</v>
      </c>
      <c r="B11" s="214" t="s">
        <v>6</v>
      </c>
      <c r="C11" s="2" t="s">
        <v>398</v>
      </c>
    </row>
    <row r="12" spans="1:3" ht="31.5">
      <c r="A12" s="213">
        <v>4</v>
      </c>
      <c r="B12" s="214" t="s">
        <v>7</v>
      </c>
      <c r="C12" s="2" t="s">
        <v>399</v>
      </c>
    </row>
    <row r="13" spans="1:3" ht="63">
      <c r="A13" s="213">
        <v>5</v>
      </c>
      <c r="B13" s="214" t="s">
        <v>8</v>
      </c>
      <c r="C13" s="2" t="s">
        <v>400</v>
      </c>
    </row>
    <row r="14" spans="1:3" ht="47.25">
      <c r="A14" s="213">
        <v>6</v>
      </c>
      <c r="B14" s="214" t="s">
        <v>9</v>
      </c>
      <c r="C14" s="2" t="s">
        <v>401</v>
      </c>
    </row>
    <row r="15" spans="1:3" ht="31.5">
      <c r="A15" s="213">
        <v>7</v>
      </c>
      <c r="B15" s="214" t="s">
        <v>10</v>
      </c>
      <c r="C15" s="2" t="s">
        <v>402</v>
      </c>
    </row>
    <row r="16" spans="1:3" ht="47.25">
      <c r="A16" s="213">
        <v>8</v>
      </c>
      <c r="B16" s="214" t="s">
        <v>11</v>
      </c>
      <c r="C16" s="2" t="s">
        <v>403</v>
      </c>
    </row>
    <row r="17" spans="1:3" ht="31.5">
      <c r="A17" s="213">
        <v>9</v>
      </c>
      <c r="B17" s="214" t="s">
        <v>12</v>
      </c>
      <c r="C17" s="2" t="s">
        <v>404</v>
      </c>
    </row>
    <row r="18" spans="1:3" ht="63">
      <c r="A18" s="213">
        <v>10</v>
      </c>
      <c r="B18" s="214" t="s">
        <v>13</v>
      </c>
      <c r="C18" s="2" t="s">
        <v>405</v>
      </c>
    </row>
  </sheetData>
  <mergeCells count="3">
    <mergeCell ref="A4:C4"/>
    <mergeCell ref="A5:C5"/>
    <mergeCell ref="A1:B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156"/>
  <sheetViews>
    <sheetView workbookViewId="0">
      <selection activeCell="I13" sqref="I13"/>
    </sheetView>
  </sheetViews>
  <sheetFormatPr defaultColWidth="8.85546875" defaultRowHeight="15"/>
  <cols>
    <col min="1" max="1" width="5.140625" style="126" customWidth="1"/>
    <col min="2" max="2" width="27.42578125" style="126" customWidth="1"/>
    <col min="3" max="4" width="11" style="126" customWidth="1"/>
    <col min="5" max="7" width="10.85546875" style="126" customWidth="1"/>
    <col min="8" max="8" width="10" style="126" customWidth="1"/>
    <col min="9" max="9" width="10.5703125" style="126" customWidth="1"/>
    <col min="10" max="11" width="10.85546875" style="126" customWidth="1"/>
    <col min="12" max="12" width="6.42578125" style="126" customWidth="1"/>
    <col min="13" max="13" width="10.85546875" style="126" customWidth="1"/>
    <col min="14" max="14" width="10.140625" style="126" customWidth="1"/>
    <col min="15" max="15" width="7" style="126" customWidth="1"/>
    <col min="16" max="16" width="8.28515625" style="126" customWidth="1"/>
    <col min="17" max="17" width="7.85546875" style="126" customWidth="1"/>
    <col min="18" max="18" width="8.140625" style="126" customWidth="1"/>
    <col min="19" max="19" width="10.140625" style="126" customWidth="1"/>
    <col min="20" max="20" width="22.42578125" style="126" customWidth="1"/>
    <col min="21" max="21" width="21.28515625" style="126" customWidth="1"/>
    <col min="22" max="22" width="29.140625" style="126" bestFit="1" customWidth="1"/>
    <col min="23" max="23" width="9.28515625" style="126" bestFit="1" customWidth="1"/>
    <col min="24" max="256" width="8.85546875" style="126"/>
    <col min="257" max="257" width="5.140625" style="126" customWidth="1"/>
    <col min="258" max="258" width="30.140625" style="126" customWidth="1"/>
    <col min="259" max="259" width="12.140625" style="126" bestFit="1" customWidth="1"/>
    <col min="260" max="261" width="11" style="126" bestFit="1" customWidth="1"/>
    <col min="262" max="262" width="11.28515625" style="126" customWidth="1"/>
    <col min="263" max="263" width="10.7109375" style="126" customWidth="1"/>
    <col min="264" max="264" width="9.85546875" style="126" customWidth="1"/>
    <col min="265" max="266" width="11" style="126" customWidth="1"/>
    <col min="267" max="267" width="9.85546875" style="126" customWidth="1"/>
    <col min="268" max="270" width="11" style="126" customWidth="1"/>
    <col min="271" max="271" width="10.140625" style="126" customWidth="1"/>
    <col min="272" max="272" width="10.7109375" style="126" customWidth="1"/>
    <col min="273" max="273" width="11" style="126" customWidth="1"/>
    <col min="274" max="274" width="9" style="126" customWidth="1"/>
    <col min="275" max="275" width="10.140625" style="126" customWidth="1"/>
    <col min="276" max="276" width="22.42578125" style="126" customWidth="1"/>
    <col min="277" max="277" width="21.28515625" style="126" customWidth="1"/>
    <col min="278" max="278" width="29.140625" style="126" bestFit="1" customWidth="1"/>
    <col min="279" max="279" width="9.28515625" style="126" bestFit="1" customWidth="1"/>
    <col min="280" max="512" width="8.85546875" style="126"/>
    <col min="513" max="513" width="5.140625" style="126" customWidth="1"/>
    <col min="514" max="514" width="30.140625" style="126" customWidth="1"/>
    <col min="515" max="515" width="12.140625" style="126" bestFit="1" customWidth="1"/>
    <col min="516" max="517" width="11" style="126" bestFit="1" customWidth="1"/>
    <col min="518" max="518" width="11.28515625" style="126" customWidth="1"/>
    <col min="519" max="519" width="10.7109375" style="126" customWidth="1"/>
    <col min="520" max="520" width="9.85546875" style="126" customWidth="1"/>
    <col min="521" max="522" width="11" style="126" customWidth="1"/>
    <col min="523" max="523" width="9.85546875" style="126" customWidth="1"/>
    <col min="524" max="526" width="11" style="126" customWidth="1"/>
    <col min="527" max="527" width="10.140625" style="126" customWidth="1"/>
    <col min="528" max="528" width="10.7109375" style="126" customWidth="1"/>
    <col min="529" max="529" width="11" style="126" customWidth="1"/>
    <col min="530" max="530" width="9" style="126" customWidth="1"/>
    <col min="531" max="531" width="10.140625" style="126" customWidth="1"/>
    <col min="532" max="532" width="22.42578125" style="126" customWidth="1"/>
    <col min="533" max="533" width="21.28515625" style="126" customWidth="1"/>
    <col min="534" max="534" width="29.140625" style="126" bestFit="1" customWidth="1"/>
    <col min="535" max="535" width="9.28515625" style="126" bestFit="1" customWidth="1"/>
    <col min="536" max="768" width="8.85546875" style="126"/>
    <col min="769" max="769" width="5.140625" style="126" customWidth="1"/>
    <col min="770" max="770" width="30.140625" style="126" customWidth="1"/>
    <col min="771" max="771" width="12.140625" style="126" bestFit="1" customWidth="1"/>
    <col min="772" max="773" width="11" style="126" bestFit="1" customWidth="1"/>
    <col min="774" max="774" width="11.28515625" style="126" customWidth="1"/>
    <col min="775" max="775" width="10.7109375" style="126" customWidth="1"/>
    <col min="776" max="776" width="9.85546875" style="126" customWidth="1"/>
    <col min="777" max="778" width="11" style="126" customWidth="1"/>
    <col min="779" max="779" width="9.85546875" style="126" customWidth="1"/>
    <col min="780" max="782" width="11" style="126" customWidth="1"/>
    <col min="783" max="783" width="10.140625" style="126" customWidth="1"/>
    <col min="784" max="784" width="10.7109375" style="126" customWidth="1"/>
    <col min="785" max="785" width="11" style="126" customWidth="1"/>
    <col min="786" max="786" width="9" style="126" customWidth="1"/>
    <col min="787" max="787" width="10.140625" style="126" customWidth="1"/>
    <col min="788" max="788" width="22.42578125" style="126" customWidth="1"/>
    <col min="789" max="789" width="21.28515625" style="126" customWidth="1"/>
    <col min="790" max="790" width="29.140625" style="126" bestFit="1" customWidth="1"/>
    <col min="791" max="791" width="9.28515625" style="126" bestFit="1" customWidth="1"/>
    <col min="792" max="1024" width="8.85546875" style="126"/>
    <col min="1025" max="1025" width="5.140625" style="126" customWidth="1"/>
    <col min="1026" max="1026" width="30.140625" style="126" customWidth="1"/>
    <col min="1027" max="1027" width="12.140625" style="126" bestFit="1" customWidth="1"/>
    <col min="1028" max="1029" width="11" style="126" bestFit="1" customWidth="1"/>
    <col min="1030" max="1030" width="11.28515625" style="126" customWidth="1"/>
    <col min="1031" max="1031" width="10.7109375" style="126" customWidth="1"/>
    <col min="1032" max="1032" width="9.85546875" style="126" customWidth="1"/>
    <col min="1033" max="1034" width="11" style="126" customWidth="1"/>
    <col min="1035" max="1035" width="9.85546875" style="126" customWidth="1"/>
    <col min="1036" max="1038" width="11" style="126" customWidth="1"/>
    <col min="1039" max="1039" width="10.140625" style="126" customWidth="1"/>
    <col min="1040" max="1040" width="10.7109375" style="126" customWidth="1"/>
    <col min="1041" max="1041" width="11" style="126" customWidth="1"/>
    <col min="1042" max="1042" width="9" style="126" customWidth="1"/>
    <col min="1043" max="1043" width="10.140625" style="126" customWidth="1"/>
    <col min="1044" max="1044" width="22.42578125" style="126" customWidth="1"/>
    <col min="1045" max="1045" width="21.28515625" style="126" customWidth="1"/>
    <col min="1046" max="1046" width="29.140625" style="126" bestFit="1" customWidth="1"/>
    <col min="1047" max="1047" width="9.28515625" style="126" bestFit="1" customWidth="1"/>
    <col min="1048" max="1280" width="8.85546875" style="126"/>
    <col min="1281" max="1281" width="5.140625" style="126" customWidth="1"/>
    <col min="1282" max="1282" width="30.140625" style="126" customWidth="1"/>
    <col min="1283" max="1283" width="12.140625" style="126" bestFit="1" customWidth="1"/>
    <col min="1284" max="1285" width="11" style="126" bestFit="1" customWidth="1"/>
    <col min="1286" max="1286" width="11.28515625" style="126" customWidth="1"/>
    <col min="1287" max="1287" width="10.7109375" style="126" customWidth="1"/>
    <col min="1288" max="1288" width="9.85546875" style="126" customWidth="1"/>
    <col min="1289" max="1290" width="11" style="126" customWidth="1"/>
    <col min="1291" max="1291" width="9.85546875" style="126" customWidth="1"/>
    <col min="1292" max="1294" width="11" style="126" customWidth="1"/>
    <col min="1295" max="1295" width="10.140625" style="126" customWidth="1"/>
    <col min="1296" max="1296" width="10.7109375" style="126" customWidth="1"/>
    <col min="1297" max="1297" width="11" style="126" customWidth="1"/>
    <col min="1298" max="1298" width="9" style="126" customWidth="1"/>
    <col min="1299" max="1299" width="10.140625" style="126" customWidth="1"/>
    <col min="1300" max="1300" width="22.42578125" style="126" customWidth="1"/>
    <col min="1301" max="1301" width="21.28515625" style="126" customWidth="1"/>
    <col min="1302" max="1302" width="29.140625" style="126" bestFit="1" customWidth="1"/>
    <col min="1303" max="1303" width="9.28515625" style="126" bestFit="1" customWidth="1"/>
    <col min="1304" max="1536" width="8.85546875" style="126"/>
    <col min="1537" max="1537" width="5.140625" style="126" customWidth="1"/>
    <col min="1538" max="1538" width="30.140625" style="126" customWidth="1"/>
    <col min="1539" max="1539" width="12.140625" style="126" bestFit="1" customWidth="1"/>
    <col min="1540" max="1541" width="11" style="126" bestFit="1" customWidth="1"/>
    <col min="1542" max="1542" width="11.28515625" style="126" customWidth="1"/>
    <col min="1543" max="1543" width="10.7109375" style="126" customWidth="1"/>
    <col min="1544" max="1544" width="9.85546875" style="126" customWidth="1"/>
    <col min="1545" max="1546" width="11" style="126" customWidth="1"/>
    <col min="1547" max="1547" width="9.85546875" style="126" customWidth="1"/>
    <col min="1548" max="1550" width="11" style="126" customWidth="1"/>
    <col min="1551" max="1551" width="10.140625" style="126" customWidth="1"/>
    <col min="1552" max="1552" width="10.7109375" style="126" customWidth="1"/>
    <col min="1553" max="1553" width="11" style="126" customWidth="1"/>
    <col min="1554" max="1554" width="9" style="126" customWidth="1"/>
    <col min="1555" max="1555" width="10.140625" style="126" customWidth="1"/>
    <col min="1556" max="1556" width="22.42578125" style="126" customWidth="1"/>
    <col min="1557" max="1557" width="21.28515625" style="126" customWidth="1"/>
    <col min="1558" max="1558" width="29.140625" style="126" bestFit="1" customWidth="1"/>
    <col min="1559" max="1559" width="9.28515625" style="126" bestFit="1" customWidth="1"/>
    <col min="1560" max="1792" width="8.85546875" style="126"/>
    <col min="1793" max="1793" width="5.140625" style="126" customWidth="1"/>
    <col min="1794" max="1794" width="30.140625" style="126" customWidth="1"/>
    <col min="1795" max="1795" width="12.140625" style="126" bestFit="1" customWidth="1"/>
    <col min="1796" max="1797" width="11" style="126" bestFit="1" customWidth="1"/>
    <col min="1798" max="1798" width="11.28515625" style="126" customWidth="1"/>
    <col min="1799" max="1799" width="10.7109375" style="126" customWidth="1"/>
    <col min="1800" max="1800" width="9.85546875" style="126" customWidth="1"/>
    <col min="1801" max="1802" width="11" style="126" customWidth="1"/>
    <col min="1803" max="1803" width="9.85546875" style="126" customWidth="1"/>
    <col min="1804" max="1806" width="11" style="126" customWidth="1"/>
    <col min="1807" max="1807" width="10.140625" style="126" customWidth="1"/>
    <col min="1808" max="1808" width="10.7109375" style="126" customWidth="1"/>
    <col min="1809" max="1809" width="11" style="126" customWidth="1"/>
    <col min="1810" max="1810" width="9" style="126" customWidth="1"/>
    <col min="1811" max="1811" width="10.140625" style="126" customWidth="1"/>
    <col min="1812" max="1812" width="22.42578125" style="126" customWidth="1"/>
    <col min="1813" max="1813" width="21.28515625" style="126" customWidth="1"/>
    <col min="1814" max="1814" width="29.140625" style="126" bestFit="1" customWidth="1"/>
    <col min="1815" max="1815" width="9.28515625" style="126" bestFit="1" customWidth="1"/>
    <col min="1816" max="2048" width="8.85546875" style="126"/>
    <col min="2049" max="2049" width="5.140625" style="126" customWidth="1"/>
    <col min="2050" max="2050" width="30.140625" style="126" customWidth="1"/>
    <col min="2051" max="2051" width="12.140625" style="126" bestFit="1" customWidth="1"/>
    <col min="2052" max="2053" width="11" style="126" bestFit="1" customWidth="1"/>
    <col min="2054" max="2054" width="11.28515625" style="126" customWidth="1"/>
    <col min="2055" max="2055" width="10.7109375" style="126" customWidth="1"/>
    <col min="2056" max="2056" width="9.85546875" style="126" customWidth="1"/>
    <col min="2057" max="2058" width="11" style="126" customWidth="1"/>
    <col min="2059" max="2059" width="9.85546875" style="126" customWidth="1"/>
    <col min="2060" max="2062" width="11" style="126" customWidth="1"/>
    <col min="2063" max="2063" width="10.140625" style="126" customWidth="1"/>
    <col min="2064" max="2064" width="10.7109375" style="126" customWidth="1"/>
    <col min="2065" max="2065" width="11" style="126" customWidth="1"/>
    <col min="2066" max="2066" width="9" style="126" customWidth="1"/>
    <col min="2067" max="2067" width="10.140625" style="126" customWidth="1"/>
    <col min="2068" max="2068" width="22.42578125" style="126" customWidth="1"/>
    <col min="2069" max="2069" width="21.28515625" style="126" customWidth="1"/>
    <col min="2070" max="2070" width="29.140625" style="126" bestFit="1" customWidth="1"/>
    <col min="2071" max="2071" width="9.28515625" style="126" bestFit="1" customWidth="1"/>
    <col min="2072" max="2304" width="8.85546875" style="126"/>
    <col min="2305" max="2305" width="5.140625" style="126" customWidth="1"/>
    <col min="2306" max="2306" width="30.140625" style="126" customWidth="1"/>
    <col min="2307" max="2307" width="12.140625" style="126" bestFit="1" customWidth="1"/>
    <col min="2308" max="2309" width="11" style="126" bestFit="1" customWidth="1"/>
    <col min="2310" max="2310" width="11.28515625" style="126" customWidth="1"/>
    <col min="2311" max="2311" width="10.7109375" style="126" customWidth="1"/>
    <col min="2312" max="2312" width="9.85546875" style="126" customWidth="1"/>
    <col min="2313" max="2314" width="11" style="126" customWidth="1"/>
    <col min="2315" max="2315" width="9.85546875" style="126" customWidth="1"/>
    <col min="2316" max="2318" width="11" style="126" customWidth="1"/>
    <col min="2319" max="2319" width="10.140625" style="126" customWidth="1"/>
    <col min="2320" max="2320" width="10.7109375" style="126" customWidth="1"/>
    <col min="2321" max="2321" width="11" style="126" customWidth="1"/>
    <col min="2322" max="2322" width="9" style="126" customWidth="1"/>
    <col min="2323" max="2323" width="10.140625" style="126" customWidth="1"/>
    <col min="2324" max="2324" width="22.42578125" style="126" customWidth="1"/>
    <col min="2325" max="2325" width="21.28515625" style="126" customWidth="1"/>
    <col min="2326" max="2326" width="29.140625" style="126" bestFit="1" customWidth="1"/>
    <col min="2327" max="2327" width="9.28515625" style="126" bestFit="1" customWidth="1"/>
    <col min="2328" max="2560" width="8.85546875" style="126"/>
    <col min="2561" max="2561" width="5.140625" style="126" customWidth="1"/>
    <col min="2562" max="2562" width="30.140625" style="126" customWidth="1"/>
    <col min="2563" max="2563" width="12.140625" style="126" bestFit="1" customWidth="1"/>
    <col min="2564" max="2565" width="11" style="126" bestFit="1" customWidth="1"/>
    <col min="2566" max="2566" width="11.28515625" style="126" customWidth="1"/>
    <col min="2567" max="2567" width="10.7109375" style="126" customWidth="1"/>
    <col min="2568" max="2568" width="9.85546875" style="126" customWidth="1"/>
    <col min="2569" max="2570" width="11" style="126" customWidth="1"/>
    <col min="2571" max="2571" width="9.85546875" style="126" customWidth="1"/>
    <col min="2572" max="2574" width="11" style="126" customWidth="1"/>
    <col min="2575" max="2575" width="10.140625" style="126" customWidth="1"/>
    <col min="2576" max="2576" width="10.7109375" style="126" customWidth="1"/>
    <col min="2577" max="2577" width="11" style="126" customWidth="1"/>
    <col min="2578" max="2578" width="9" style="126" customWidth="1"/>
    <col min="2579" max="2579" width="10.140625" style="126" customWidth="1"/>
    <col min="2580" max="2580" width="22.42578125" style="126" customWidth="1"/>
    <col min="2581" max="2581" width="21.28515625" style="126" customWidth="1"/>
    <col min="2582" max="2582" width="29.140625" style="126" bestFit="1" customWidth="1"/>
    <col min="2583" max="2583" width="9.28515625" style="126" bestFit="1" customWidth="1"/>
    <col min="2584" max="2816" width="8.85546875" style="126"/>
    <col min="2817" max="2817" width="5.140625" style="126" customWidth="1"/>
    <col min="2818" max="2818" width="30.140625" style="126" customWidth="1"/>
    <col min="2819" max="2819" width="12.140625" style="126" bestFit="1" customWidth="1"/>
    <col min="2820" max="2821" width="11" style="126" bestFit="1" customWidth="1"/>
    <col min="2822" max="2822" width="11.28515625" style="126" customWidth="1"/>
    <col min="2823" max="2823" width="10.7109375" style="126" customWidth="1"/>
    <col min="2824" max="2824" width="9.85546875" style="126" customWidth="1"/>
    <col min="2825" max="2826" width="11" style="126" customWidth="1"/>
    <col min="2827" max="2827" width="9.85546875" style="126" customWidth="1"/>
    <col min="2828" max="2830" width="11" style="126" customWidth="1"/>
    <col min="2831" max="2831" width="10.140625" style="126" customWidth="1"/>
    <col min="2832" max="2832" width="10.7109375" style="126" customWidth="1"/>
    <col min="2833" max="2833" width="11" style="126" customWidth="1"/>
    <col min="2834" max="2834" width="9" style="126" customWidth="1"/>
    <col min="2835" max="2835" width="10.140625" style="126" customWidth="1"/>
    <col min="2836" max="2836" width="22.42578125" style="126" customWidth="1"/>
    <col min="2837" max="2837" width="21.28515625" style="126" customWidth="1"/>
    <col min="2838" max="2838" width="29.140625" style="126" bestFit="1" customWidth="1"/>
    <col min="2839" max="2839" width="9.28515625" style="126" bestFit="1" customWidth="1"/>
    <col min="2840" max="3072" width="8.85546875" style="126"/>
    <col min="3073" max="3073" width="5.140625" style="126" customWidth="1"/>
    <col min="3074" max="3074" width="30.140625" style="126" customWidth="1"/>
    <col min="3075" max="3075" width="12.140625" style="126" bestFit="1" customWidth="1"/>
    <col min="3076" max="3077" width="11" style="126" bestFit="1" customWidth="1"/>
    <col min="3078" max="3078" width="11.28515625" style="126" customWidth="1"/>
    <col min="3079" max="3079" width="10.7109375" style="126" customWidth="1"/>
    <col min="3080" max="3080" width="9.85546875" style="126" customWidth="1"/>
    <col min="3081" max="3082" width="11" style="126" customWidth="1"/>
    <col min="3083" max="3083" width="9.85546875" style="126" customWidth="1"/>
    <col min="3084" max="3086" width="11" style="126" customWidth="1"/>
    <col min="3087" max="3087" width="10.140625" style="126" customWidth="1"/>
    <col min="3088" max="3088" width="10.7109375" style="126" customWidth="1"/>
    <col min="3089" max="3089" width="11" style="126" customWidth="1"/>
    <col min="3090" max="3090" width="9" style="126" customWidth="1"/>
    <col min="3091" max="3091" width="10.140625" style="126" customWidth="1"/>
    <col min="3092" max="3092" width="22.42578125" style="126" customWidth="1"/>
    <col min="3093" max="3093" width="21.28515625" style="126" customWidth="1"/>
    <col min="3094" max="3094" width="29.140625" style="126" bestFit="1" customWidth="1"/>
    <col min="3095" max="3095" width="9.28515625" style="126" bestFit="1" customWidth="1"/>
    <col min="3096" max="3328" width="8.85546875" style="126"/>
    <col min="3329" max="3329" width="5.140625" style="126" customWidth="1"/>
    <col min="3330" max="3330" width="30.140625" style="126" customWidth="1"/>
    <col min="3331" max="3331" width="12.140625" style="126" bestFit="1" customWidth="1"/>
    <col min="3332" max="3333" width="11" style="126" bestFit="1" customWidth="1"/>
    <col min="3334" max="3334" width="11.28515625" style="126" customWidth="1"/>
    <col min="3335" max="3335" width="10.7109375" style="126" customWidth="1"/>
    <col min="3336" max="3336" width="9.85546875" style="126" customWidth="1"/>
    <col min="3337" max="3338" width="11" style="126" customWidth="1"/>
    <col min="3339" max="3339" width="9.85546875" style="126" customWidth="1"/>
    <col min="3340" max="3342" width="11" style="126" customWidth="1"/>
    <col min="3343" max="3343" width="10.140625" style="126" customWidth="1"/>
    <col min="3344" max="3344" width="10.7109375" style="126" customWidth="1"/>
    <col min="3345" max="3345" width="11" style="126" customWidth="1"/>
    <col min="3346" max="3346" width="9" style="126" customWidth="1"/>
    <col min="3347" max="3347" width="10.140625" style="126" customWidth="1"/>
    <col min="3348" max="3348" width="22.42578125" style="126" customWidth="1"/>
    <col min="3349" max="3349" width="21.28515625" style="126" customWidth="1"/>
    <col min="3350" max="3350" width="29.140625" style="126" bestFit="1" customWidth="1"/>
    <col min="3351" max="3351" width="9.28515625" style="126" bestFit="1" customWidth="1"/>
    <col min="3352" max="3584" width="8.85546875" style="126"/>
    <col min="3585" max="3585" width="5.140625" style="126" customWidth="1"/>
    <col min="3586" max="3586" width="30.140625" style="126" customWidth="1"/>
    <col min="3587" max="3587" width="12.140625" style="126" bestFit="1" customWidth="1"/>
    <col min="3588" max="3589" width="11" style="126" bestFit="1" customWidth="1"/>
    <col min="3590" max="3590" width="11.28515625" style="126" customWidth="1"/>
    <col min="3591" max="3591" width="10.7109375" style="126" customWidth="1"/>
    <col min="3592" max="3592" width="9.85546875" style="126" customWidth="1"/>
    <col min="3593" max="3594" width="11" style="126" customWidth="1"/>
    <col min="3595" max="3595" width="9.85546875" style="126" customWidth="1"/>
    <col min="3596" max="3598" width="11" style="126" customWidth="1"/>
    <col min="3599" max="3599" width="10.140625" style="126" customWidth="1"/>
    <col min="3600" max="3600" width="10.7109375" style="126" customWidth="1"/>
    <col min="3601" max="3601" width="11" style="126" customWidth="1"/>
    <col min="3602" max="3602" width="9" style="126" customWidth="1"/>
    <col min="3603" max="3603" width="10.140625" style="126" customWidth="1"/>
    <col min="3604" max="3604" width="22.42578125" style="126" customWidth="1"/>
    <col min="3605" max="3605" width="21.28515625" style="126" customWidth="1"/>
    <col min="3606" max="3606" width="29.140625" style="126" bestFit="1" customWidth="1"/>
    <col min="3607" max="3607" width="9.28515625" style="126" bestFit="1" customWidth="1"/>
    <col min="3608" max="3840" width="8.85546875" style="126"/>
    <col min="3841" max="3841" width="5.140625" style="126" customWidth="1"/>
    <col min="3842" max="3842" width="30.140625" style="126" customWidth="1"/>
    <col min="3843" max="3843" width="12.140625" style="126" bestFit="1" customWidth="1"/>
    <col min="3844" max="3845" width="11" style="126" bestFit="1" customWidth="1"/>
    <col min="3846" max="3846" width="11.28515625" style="126" customWidth="1"/>
    <col min="3847" max="3847" width="10.7109375" style="126" customWidth="1"/>
    <col min="3848" max="3848" width="9.85546875" style="126" customWidth="1"/>
    <col min="3849" max="3850" width="11" style="126" customWidth="1"/>
    <col min="3851" max="3851" width="9.85546875" style="126" customWidth="1"/>
    <col min="3852" max="3854" width="11" style="126" customWidth="1"/>
    <col min="3855" max="3855" width="10.140625" style="126" customWidth="1"/>
    <col min="3856" max="3856" width="10.7109375" style="126" customWidth="1"/>
    <col min="3857" max="3857" width="11" style="126" customWidth="1"/>
    <col min="3858" max="3858" width="9" style="126" customWidth="1"/>
    <col min="3859" max="3859" width="10.140625" style="126" customWidth="1"/>
    <col min="3860" max="3860" width="22.42578125" style="126" customWidth="1"/>
    <col min="3861" max="3861" width="21.28515625" style="126" customWidth="1"/>
    <col min="3862" max="3862" width="29.140625" style="126" bestFit="1" customWidth="1"/>
    <col min="3863" max="3863" width="9.28515625" style="126" bestFit="1" customWidth="1"/>
    <col min="3864" max="4096" width="8.85546875" style="126"/>
    <col min="4097" max="4097" width="5.140625" style="126" customWidth="1"/>
    <col min="4098" max="4098" width="30.140625" style="126" customWidth="1"/>
    <col min="4099" max="4099" width="12.140625" style="126" bestFit="1" customWidth="1"/>
    <col min="4100" max="4101" width="11" style="126" bestFit="1" customWidth="1"/>
    <col min="4102" max="4102" width="11.28515625" style="126" customWidth="1"/>
    <col min="4103" max="4103" width="10.7109375" style="126" customWidth="1"/>
    <col min="4104" max="4104" width="9.85546875" style="126" customWidth="1"/>
    <col min="4105" max="4106" width="11" style="126" customWidth="1"/>
    <col min="4107" max="4107" width="9.85546875" style="126" customWidth="1"/>
    <col min="4108" max="4110" width="11" style="126" customWidth="1"/>
    <col min="4111" max="4111" width="10.140625" style="126" customWidth="1"/>
    <col min="4112" max="4112" width="10.7109375" style="126" customWidth="1"/>
    <col min="4113" max="4113" width="11" style="126" customWidth="1"/>
    <col min="4114" max="4114" width="9" style="126" customWidth="1"/>
    <col min="4115" max="4115" width="10.140625" style="126" customWidth="1"/>
    <col min="4116" max="4116" width="22.42578125" style="126" customWidth="1"/>
    <col min="4117" max="4117" width="21.28515625" style="126" customWidth="1"/>
    <col min="4118" max="4118" width="29.140625" style="126" bestFit="1" customWidth="1"/>
    <col min="4119" max="4119" width="9.28515625" style="126" bestFit="1" customWidth="1"/>
    <col min="4120" max="4352" width="8.85546875" style="126"/>
    <col min="4353" max="4353" width="5.140625" style="126" customWidth="1"/>
    <col min="4354" max="4354" width="30.140625" style="126" customWidth="1"/>
    <col min="4355" max="4355" width="12.140625" style="126" bestFit="1" customWidth="1"/>
    <col min="4356" max="4357" width="11" style="126" bestFit="1" customWidth="1"/>
    <col min="4358" max="4358" width="11.28515625" style="126" customWidth="1"/>
    <col min="4359" max="4359" width="10.7109375" style="126" customWidth="1"/>
    <col min="4360" max="4360" width="9.85546875" style="126" customWidth="1"/>
    <col min="4361" max="4362" width="11" style="126" customWidth="1"/>
    <col min="4363" max="4363" width="9.85546875" style="126" customWidth="1"/>
    <col min="4364" max="4366" width="11" style="126" customWidth="1"/>
    <col min="4367" max="4367" width="10.140625" style="126" customWidth="1"/>
    <col min="4368" max="4368" width="10.7109375" style="126" customWidth="1"/>
    <col min="4369" max="4369" width="11" style="126" customWidth="1"/>
    <col min="4370" max="4370" width="9" style="126" customWidth="1"/>
    <col min="4371" max="4371" width="10.140625" style="126" customWidth="1"/>
    <col min="4372" max="4372" width="22.42578125" style="126" customWidth="1"/>
    <col min="4373" max="4373" width="21.28515625" style="126" customWidth="1"/>
    <col min="4374" max="4374" width="29.140625" style="126" bestFit="1" customWidth="1"/>
    <col min="4375" max="4375" width="9.28515625" style="126" bestFit="1" customWidth="1"/>
    <col min="4376" max="4608" width="8.85546875" style="126"/>
    <col min="4609" max="4609" width="5.140625" style="126" customWidth="1"/>
    <col min="4610" max="4610" width="30.140625" style="126" customWidth="1"/>
    <col min="4611" max="4611" width="12.140625" style="126" bestFit="1" customWidth="1"/>
    <col min="4612" max="4613" width="11" style="126" bestFit="1" customWidth="1"/>
    <col min="4614" max="4614" width="11.28515625" style="126" customWidth="1"/>
    <col min="4615" max="4615" width="10.7109375" style="126" customWidth="1"/>
    <col min="4616" max="4616" width="9.85546875" style="126" customWidth="1"/>
    <col min="4617" max="4618" width="11" style="126" customWidth="1"/>
    <col min="4619" max="4619" width="9.85546875" style="126" customWidth="1"/>
    <col min="4620" max="4622" width="11" style="126" customWidth="1"/>
    <col min="4623" max="4623" width="10.140625" style="126" customWidth="1"/>
    <col min="4624" max="4624" width="10.7109375" style="126" customWidth="1"/>
    <col min="4625" max="4625" width="11" style="126" customWidth="1"/>
    <col min="4626" max="4626" width="9" style="126" customWidth="1"/>
    <col min="4627" max="4627" width="10.140625" style="126" customWidth="1"/>
    <col min="4628" max="4628" width="22.42578125" style="126" customWidth="1"/>
    <col min="4629" max="4629" width="21.28515625" style="126" customWidth="1"/>
    <col min="4630" max="4630" width="29.140625" style="126" bestFit="1" customWidth="1"/>
    <col min="4631" max="4631" width="9.28515625" style="126" bestFit="1" customWidth="1"/>
    <col min="4632" max="4864" width="8.85546875" style="126"/>
    <col min="4865" max="4865" width="5.140625" style="126" customWidth="1"/>
    <col min="4866" max="4866" width="30.140625" style="126" customWidth="1"/>
    <col min="4867" max="4867" width="12.140625" style="126" bestFit="1" customWidth="1"/>
    <col min="4868" max="4869" width="11" style="126" bestFit="1" customWidth="1"/>
    <col min="4870" max="4870" width="11.28515625" style="126" customWidth="1"/>
    <col min="4871" max="4871" width="10.7109375" style="126" customWidth="1"/>
    <col min="4872" max="4872" width="9.85546875" style="126" customWidth="1"/>
    <col min="4873" max="4874" width="11" style="126" customWidth="1"/>
    <col min="4875" max="4875" width="9.85546875" style="126" customWidth="1"/>
    <col min="4876" max="4878" width="11" style="126" customWidth="1"/>
    <col min="4879" max="4879" width="10.140625" style="126" customWidth="1"/>
    <col min="4880" max="4880" width="10.7109375" style="126" customWidth="1"/>
    <col min="4881" max="4881" width="11" style="126" customWidth="1"/>
    <col min="4882" max="4882" width="9" style="126" customWidth="1"/>
    <col min="4883" max="4883" width="10.140625" style="126" customWidth="1"/>
    <col min="4884" max="4884" width="22.42578125" style="126" customWidth="1"/>
    <col min="4885" max="4885" width="21.28515625" style="126" customWidth="1"/>
    <col min="4886" max="4886" width="29.140625" style="126" bestFit="1" customWidth="1"/>
    <col min="4887" max="4887" width="9.28515625" style="126" bestFit="1" customWidth="1"/>
    <col min="4888" max="5120" width="8.85546875" style="126"/>
    <col min="5121" max="5121" width="5.140625" style="126" customWidth="1"/>
    <col min="5122" max="5122" width="30.140625" style="126" customWidth="1"/>
    <col min="5123" max="5123" width="12.140625" style="126" bestFit="1" customWidth="1"/>
    <col min="5124" max="5125" width="11" style="126" bestFit="1" customWidth="1"/>
    <col min="5126" max="5126" width="11.28515625" style="126" customWidth="1"/>
    <col min="5127" max="5127" width="10.7109375" style="126" customWidth="1"/>
    <col min="5128" max="5128" width="9.85546875" style="126" customWidth="1"/>
    <col min="5129" max="5130" width="11" style="126" customWidth="1"/>
    <col min="5131" max="5131" width="9.85546875" style="126" customWidth="1"/>
    <col min="5132" max="5134" width="11" style="126" customWidth="1"/>
    <col min="5135" max="5135" width="10.140625" style="126" customWidth="1"/>
    <col min="5136" max="5136" width="10.7109375" style="126" customWidth="1"/>
    <col min="5137" max="5137" width="11" style="126" customWidth="1"/>
    <col min="5138" max="5138" width="9" style="126" customWidth="1"/>
    <col min="5139" max="5139" width="10.140625" style="126" customWidth="1"/>
    <col min="5140" max="5140" width="22.42578125" style="126" customWidth="1"/>
    <col min="5141" max="5141" width="21.28515625" style="126" customWidth="1"/>
    <col min="5142" max="5142" width="29.140625" style="126" bestFit="1" customWidth="1"/>
    <col min="5143" max="5143" width="9.28515625" style="126" bestFit="1" customWidth="1"/>
    <col min="5144" max="5376" width="8.85546875" style="126"/>
    <col min="5377" max="5377" width="5.140625" style="126" customWidth="1"/>
    <col min="5378" max="5378" width="30.140625" style="126" customWidth="1"/>
    <col min="5379" max="5379" width="12.140625" style="126" bestFit="1" customWidth="1"/>
    <col min="5380" max="5381" width="11" style="126" bestFit="1" customWidth="1"/>
    <col min="5382" max="5382" width="11.28515625" style="126" customWidth="1"/>
    <col min="5383" max="5383" width="10.7109375" style="126" customWidth="1"/>
    <col min="5384" max="5384" width="9.85546875" style="126" customWidth="1"/>
    <col min="5385" max="5386" width="11" style="126" customWidth="1"/>
    <col min="5387" max="5387" width="9.85546875" style="126" customWidth="1"/>
    <col min="5388" max="5390" width="11" style="126" customWidth="1"/>
    <col min="5391" max="5391" width="10.140625" style="126" customWidth="1"/>
    <col min="5392" max="5392" width="10.7109375" style="126" customWidth="1"/>
    <col min="5393" max="5393" width="11" style="126" customWidth="1"/>
    <col min="5394" max="5394" width="9" style="126" customWidth="1"/>
    <col min="5395" max="5395" width="10.140625" style="126" customWidth="1"/>
    <col min="5396" max="5396" width="22.42578125" style="126" customWidth="1"/>
    <col min="5397" max="5397" width="21.28515625" style="126" customWidth="1"/>
    <col min="5398" max="5398" width="29.140625" style="126" bestFit="1" customWidth="1"/>
    <col min="5399" max="5399" width="9.28515625" style="126" bestFit="1" customWidth="1"/>
    <col min="5400" max="5632" width="8.85546875" style="126"/>
    <col min="5633" max="5633" width="5.140625" style="126" customWidth="1"/>
    <col min="5634" max="5634" width="30.140625" style="126" customWidth="1"/>
    <col min="5635" max="5635" width="12.140625" style="126" bestFit="1" customWidth="1"/>
    <col min="5636" max="5637" width="11" style="126" bestFit="1" customWidth="1"/>
    <col min="5638" max="5638" width="11.28515625" style="126" customWidth="1"/>
    <col min="5639" max="5639" width="10.7109375" style="126" customWidth="1"/>
    <col min="5640" max="5640" width="9.85546875" style="126" customWidth="1"/>
    <col min="5641" max="5642" width="11" style="126" customWidth="1"/>
    <col min="5643" max="5643" width="9.85546875" style="126" customWidth="1"/>
    <col min="5644" max="5646" width="11" style="126" customWidth="1"/>
    <col min="5647" max="5647" width="10.140625" style="126" customWidth="1"/>
    <col min="5648" max="5648" width="10.7109375" style="126" customWidth="1"/>
    <col min="5649" max="5649" width="11" style="126" customWidth="1"/>
    <col min="5650" max="5650" width="9" style="126" customWidth="1"/>
    <col min="5651" max="5651" width="10.140625" style="126" customWidth="1"/>
    <col min="5652" max="5652" width="22.42578125" style="126" customWidth="1"/>
    <col min="5653" max="5653" width="21.28515625" style="126" customWidth="1"/>
    <col min="5654" max="5654" width="29.140625" style="126" bestFit="1" customWidth="1"/>
    <col min="5655" max="5655" width="9.28515625" style="126" bestFit="1" customWidth="1"/>
    <col min="5656" max="5888" width="8.85546875" style="126"/>
    <col min="5889" max="5889" width="5.140625" style="126" customWidth="1"/>
    <col min="5890" max="5890" width="30.140625" style="126" customWidth="1"/>
    <col min="5891" max="5891" width="12.140625" style="126" bestFit="1" customWidth="1"/>
    <col min="5892" max="5893" width="11" style="126" bestFit="1" customWidth="1"/>
    <col min="5894" max="5894" width="11.28515625" style="126" customWidth="1"/>
    <col min="5895" max="5895" width="10.7109375" style="126" customWidth="1"/>
    <col min="5896" max="5896" width="9.85546875" style="126" customWidth="1"/>
    <col min="5897" max="5898" width="11" style="126" customWidth="1"/>
    <col min="5899" max="5899" width="9.85546875" style="126" customWidth="1"/>
    <col min="5900" max="5902" width="11" style="126" customWidth="1"/>
    <col min="5903" max="5903" width="10.140625" style="126" customWidth="1"/>
    <col min="5904" max="5904" width="10.7109375" style="126" customWidth="1"/>
    <col min="5905" max="5905" width="11" style="126" customWidth="1"/>
    <col min="5906" max="5906" width="9" style="126" customWidth="1"/>
    <col min="5907" max="5907" width="10.140625" style="126" customWidth="1"/>
    <col min="5908" max="5908" width="22.42578125" style="126" customWidth="1"/>
    <col min="5909" max="5909" width="21.28515625" style="126" customWidth="1"/>
    <col min="5910" max="5910" width="29.140625" style="126" bestFit="1" customWidth="1"/>
    <col min="5911" max="5911" width="9.28515625" style="126" bestFit="1" customWidth="1"/>
    <col min="5912" max="6144" width="8.85546875" style="126"/>
    <col min="6145" max="6145" width="5.140625" style="126" customWidth="1"/>
    <col min="6146" max="6146" width="30.140625" style="126" customWidth="1"/>
    <col min="6147" max="6147" width="12.140625" style="126" bestFit="1" customWidth="1"/>
    <col min="6148" max="6149" width="11" style="126" bestFit="1" customWidth="1"/>
    <col min="6150" max="6150" width="11.28515625" style="126" customWidth="1"/>
    <col min="6151" max="6151" width="10.7109375" style="126" customWidth="1"/>
    <col min="6152" max="6152" width="9.85546875" style="126" customWidth="1"/>
    <col min="6153" max="6154" width="11" style="126" customWidth="1"/>
    <col min="6155" max="6155" width="9.85546875" style="126" customWidth="1"/>
    <col min="6156" max="6158" width="11" style="126" customWidth="1"/>
    <col min="6159" max="6159" width="10.140625" style="126" customWidth="1"/>
    <col min="6160" max="6160" width="10.7109375" style="126" customWidth="1"/>
    <col min="6161" max="6161" width="11" style="126" customWidth="1"/>
    <col min="6162" max="6162" width="9" style="126" customWidth="1"/>
    <col min="6163" max="6163" width="10.140625" style="126" customWidth="1"/>
    <col min="6164" max="6164" width="22.42578125" style="126" customWidth="1"/>
    <col min="6165" max="6165" width="21.28515625" style="126" customWidth="1"/>
    <col min="6166" max="6166" width="29.140625" style="126" bestFit="1" customWidth="1"/>
    <col min="6167" max="6167" width="9.28515625" style="126" bestFit="1" customWidth="1"/>
    <col min="6168" max="6400" width="8.85546875" style="126"/>
    <col min="6401" max="6401" width="5.140625" style="126" customWidth="1"/>
    <col min="6402" max="6402" width="30.140625" style="126" customWidth="1"/>
    <col min="6403" max="6403" width="12.140625" style="126" bestFit="1" customWidth="1"/>
    <col min="6404" max="6405" width="11" style="126" bestFit="1" customWidth="1"/>
    <col min="6406" max="6406" width="11.28515625" style="126" customWidth="1"/>
    <col min="6407" max="6407" width="10.7109375" style="126" customWidth="1"/>
    <col min="6408" max="6408" width="9.85546875" style="126" customWidth="1"/>
    <col min="6409" max="6410" width="11" style="126" customWidth="1"/>
    <col min="6411" max="6411" width="9.85546875" style="126" customWidth="1"/>
    <col min="6412" max="6414" width="11" style="126" customWidth="1"/>
    <col min="6415" max="6415" width="10.140625" style="126" customWidth="1"/>
    <col min="6416" max="6416" width="10.7109375" style="126" customWidth="1"/>
    <col min="6417" max="6417" width="11" style="126" customWidth="1"/>
    <col min="6418" max="6418" width="9" style="126" customWidth="1"/>
    <col min="6419" max="6419" width="10.140625" style="126" customWidth="1"/>
    <col min="6420" max="6420" width="22.42578125" style="126" customWidth="1"/>
    <col min="6421" max="6421" width="21.28515625" style="126" customWidth="1"/>
    <col min="6422" max="6422" width="29.140625" style="126" bestFit="1" customWidth="1"/>
    <col min="6423" max="6423" width="9.28515625" style="126" bestFit="1" customWidth="1"/>
    <col min="6424" max="6656" width="8.85546875" style="126"/>
    <col min="6657" max="6657" width="5.140625" style="126" customWidth="1"/>
    <col min="6658" max="6658" width="30.140625" style="126" customWidth="1"/>
    <col min="6659" max="6659" width="12.140625" style="126" bestFit="1" customWidth="1"/>
    <col min="6660" max="6661" width="11" style="126" bestFit="1" customWidth="1"/>
    <col min="6662" max="6662" width="11.28515625" style="126" customWidth="1"/>
    <col min="6663" max="6663" width="10.7109375" style="126" customWidth="1"/>
    <col min="6664" max="6664" width="9.85546875" style="126" customWidth="1"/>
    <col min="6665" max="6666" width="11" style="126" customWidth="1"/>
    <col min="6667" max="6667" width="9.85546875" style="126" customWidth="1"/>
    <col min="6668" max="6670" width="11" style="126" customWidth="1"/>
    <col min="6671" max="6671" width="10.140625" style="126" customWidth="1"/>
    <col min="6672" max="6672" width="10.7109375" style="126" customWidth="1"/>
    <col min="6673" max="6673" width="11" style="126" customWidth="1"/>
    <col min="6674" max="6674" width="9" style="126" customWidth="1"/>
    <col min="6675" max="6675" width="10.140625" style="126" customWidth="1"/>
    <col min="6676" max="6676" width="22.42578125" style="126" customWidth="1"/>
    <col min="6677" max="6677" width="21.28515625" style="126" customWidth="1"/>
    <col min="6678" max="6678" width="29.140625" style="126" bestFit="1" customWidth="1"/>
    <col min="6679" max="6679" width="9.28515625" style="126" bestFit="1" customWidth="1"/>
    <col min="6680" max="6912" width="8.85546875" style="126"/>
    <col min="6913" max="6913" width="5.140625" style="126" customWidth="1"/>
    <col min="6914" max="6914" width="30.140625" style="126" customWidth="1"/>
    <col min="6915" max="6915" width="12.140625" style="126" bestFit="1" customWidth="1"/>
    <col min="6916" max="6917" width="11" style="126" bestFit="1" customWidth="1"/>
    <col min="6918" max="6918" width="11.28515625" style="126" customWidth="1"/>
    <col min="6919" max="6919" width="10.7109375" style="126" customWidth="1"/>
    <col min="6920" max="6920" width="9.85546875" style="126" customWidth="1"/>
    <col min="6921" max="6922" width="11" style="126" customWidth="1"/>
    <col min="6923" max="6923" width="9.85546875" style="126" customWidth="1"/>
    <col min="6924" max="6926" width="11" style="126" customWidth="1"/>
    <col min="6927" max="6927" width="10.140625" style="126" customWidth="1"/>
    <col min="6928" max="6928" width="10.7109375" style="126" customWidth="1"/>
    <col min="6929" max="6929" width="11" style="126" customWidth="1"/>
    <col min="6930" max="6930" width="9" style="126" customWidth="1"/>
    <col min="6931" max="6931" width="10.140625" style="126" customWidth="1"/>
    <col min="6932" max="6932" width="22.42578125" style="126" customWidth="1"/>
    <col min="6933" max="6933" width="21.28515625" style="126" customWidth="1"/>
    <col min="6934" max="6934" width="29.140625" style="126" bestFit="1" customWidth="1"/>
    <col min="6935" max="6935" width="9.28515625" style="126" bestFit="1" customWidth="1"/>
    <col min="6936" max="7168" width="8.85546875" style="126"/>
    <col min="7169" max="7169" width="5.140625" style="126" customWidth="1"/>
    <col min="7170" max="7170" width="30.140625" style="126" customWidth="1"/>
    <col min="7171" max="7171" width="12.140625" style="126" bestFit="1" customWidth="1"/>
    <col min="7172" max="7173" width="11" style="126" bestFit="1" customWidth="1"/>
    <col min="7174" max="7174" width="11.28515625" style="126" customWidth="1"/>
    <col min="7175" max="7175" width="10.7109375" style="126" customWidth="1"/>
    <col min="7176" max="7176" width="9.85546875" style="126" customWidth="1"/>
    <col min="7177" max="7178" width="11" style="126" customWidth="1"/>
    <col min="7179" max="7179" width="9.85546875" style="126" customWidth="1"/>
    <col min="7180" max="7182" width="11" style="126" customWidth="1"/>
    <col min="7183" max="7183" width="10.140625" style="126" customWidth="1"/>
    <col min="7184" max="7184" width="10.7109375" style="126" customWidth="1"/>
    <col min="7185" max="7185" width="11" style="126" customWidth="1"/>
    <col min="7186" max="7186" width="9" style="126" customWidth="1"/>
    <col min="7187" max="7187" width="10.140625" style="126" customWidth="1"/>
    <col min="7188" max="7188" width="22.42578125" style="126" customWidth="1"/>
    <col min="7189" max="7189" width="21.28515625" style="126" customWidth="1"/>
    <col min="7190" max="7190" width="29.140625" style="126" bestFit="1" customWidth="1"/>
    <col min="7191" max="7191" width="9.28515625" style="126" bestFit="1" customWidth="1"/>
    <col min="7192" max="7424" width="8.85546875" style="126"/>
    <col min="7425" max="7425" width="5.140625" style="126" customWidth="1"/>
    <col min="7426" max="7426" width="30.140625" style="126" customWidth="1"/>
    <col min="7427" max="7427" width="12.140625" style="126" bestFit="1" customWidth="1"/>
    <col min="7428" max="7429" width="11" style="126" bestFit="1" customWidth="1"/>
    <col min="7430" max="7430" width="11.28515625" style="126" customWidth="1"/>
    <col min="7431" max="7431" width="10.7109375" style="126" customWidth="1"/>
    <col min="7432" max="7432" width="9.85546875" style="126" customWidth="1"/>
    <col min="7433" max="7434" width="11" style="126" customWidth="1"/>
    <col min="7435" max="7435" width="9.85546875" style="126" customWidth="1"/>
    <col min="7436" max="7438" width="11" style="126" customWidth="1"/>
    <col min="7439" max="7439" width="10.140625" style="126" customWidth="1"/>
    <col min="7440" max="7440" width="10.7109375" style="126" customWidth="1"/>
    <col min="7441" max="7441" width="11" style="126" customWidth="1"/>
    <col min="7442" max="7442" width="9" style="126" customWidth="1"/>
    <col min="7443" max="7443" width="10.140625" style="126" customWidth="1"/>
    <col min="7444" max="7444" width="22.42578125" style="126" customWidth="1"/>
    <col min="7445" max="7445" width="21.28515625" style="126" customWidth="1"/>
    <col min="7446" max="7446" width="29.140625" style="126" bestFit="1" customWidth="1"/>
    <col min="7447" max="7447" width="9.28515625" style="126" bestFit="1" customWidth="1"/>
    <col min="7448" max="7680" width="8.85546875" style="126"/>
    <col min="7681" max="7681" width="5.140625" style="126" customWidth="1"/>
    <col min="7682" max="7682" width="30.140625" style="126" customWidth="1"/>
    <col min="7683" max="7683" width="12.140625" style="126" bestFit="1" customWidth="1"/>
    <col min="7684" max="7685" width="11" style="126" bestFit="1" customWidth="1"/>
    <col min="7686" max="7686" width="11.28515625" style="126" customWidth="1"/>
    <col min="7687" max="7687" width="10.7109375" style="126" customWidth="1"/>
    <col min="7688" max="7688" width="9.85546875" style="126" customWidth="1"/>
    <col min="7689" max="7690" width="11" style="126" customWidth="1"/>
    <col min="7691" max="7691" width="9.85546875" style="126" customWidth="1"/>
    <col min="7692" max="7694" width="11" style="126" customWidth="1"/>
    <col min="7695" max="7695" width="10.140625" style="126" customWidth="1"/>
    <col min="7696" max="7696" width="10.7109375" style="126" customWidth="1"/>
    <col min="7697" max="7697" width="11" style="126" customWidth="1"/>
    <col min="7698" max="7698" width="9" style="126" customWidth="1"/>
    <col min="7699" max="7699" width="10.140625" style="126" customWidth="1"/>
    <col min="7700" max="7700" width="22.42578125" style="126" customWidth="1"/>
    <col min="7701" max="7701" width="21.28515625" style="126" customWidth="1"/>
    <col min="7702" max="7702" width="29.140625" style="126" bestFit="1" customWidth="1"/>
    <col min="7703" max="7703" width="9.28515625" style="126" bestFit="1" customWidth="1"/>
    <col min="7704" max="7936" width="8.85546875" style="126"/>
    <col min="7937" max="7937" width="5.140625" style="126" customWidth="1"/>
    <col min="7938" max="7938" width="30.140625" style="126" customWidth="1"/>
    <col min="7939" max="7939" width="12.140625" style="126" bestFit="1" customWidth="1"/>
    <col min="7940" max="7941" width="11" style="126" bestFit="1" customWidth="1"/>
    <col min="7942" max="7942" width="11.28515625" style="126" customWidth="1"/>
    <col min="7943" max="7943" width="10.7109375" style="126" customWidth="1"/>
    <col min="7944" max="7944" width="9.85546875" style="126" customWidth="1"/>
    <col min="7945" max="7946" width="11" style="126" customWidth="1"/>
    <col min="7947" max="7947" width="9.85546875" style="126" customWidth="1"/>
    <col min="7948" max="7950" width="11" style="126" customWidth="1"/>
    <col min="7951" max="7951" width="10.140625" style="126" customWidth="1"/>
    <col min="7952" max="7952" width="10.7109375" style="126" customWidth="1"/>
    <col min="7953" max="7953" width="11" style="126" customWidth="1"/>
    <col min="7954" max="7954" width="9" style="126" customWidth="1"/>
    <col min="7955" max="7955" width="10.140625" style="126" customWidth="1"/>
    <col min="7956" max="7956" width="22.42578125" style="126" customWidth="1"/>
    <col min="7957" max="7957" width="21.28515625" style="126" customWidth="1"/>
    <col min="7958" max="7958" width="29.140625" style="126" bestFit="1" customWidth="1"/>
    <col min="7959" max="7959" width="9.28515625" style="126" bestFit="1" customWidth="1"/>
    <col min="7960" max="8192" width="8.85546875" style="126"/>
    <col min="8193" max="8193" width="5.140625" style="126" customWidth="1"/>
    <col min="8194" max="8194" width="30.140625" style="126" customWidth="1"/>
    <col min="8195" max="8195" width="12.140625" style="126" bestFit="1" customWidth="1"/>
    <col min="8196" max="8197" width="11" style="126" bestFit="1" customWidth="1"/>
    <col min="8198" max="8198" width="11.28515625" style="126" customWidth="1"/>
    <col min="8199" max="8199" width="10.7109375" style="126" customWidth="1"/>
    <col min="8200" max="8200" width="9.85546875" style="126" customWidth="1"/>
    <col min="8201" max="8202" width="11" style="126" customWidth="1"/>
    <col min="8203" max="8203" width="9.85546875" style="126" customWidth="1"/>
    <col min="8204" max="8206" width="11" style="126" customWidth="1"/>
    <col min="8207" max="8207" width="10.140625" style="126" customWidth="1"/>
    <col min="8208" max="8208" width="10.7109375" style="126" customWidth="1"/>
    <col min="8209" max="8209" width="11" style="126" customWidth="1"/>
    <col min="8210" max="8210" width="9" style="126" customWidth="1"/>
    <col min="8211" max="8211" width="10.140625" style="126" customWidth="1"/>
    <col min="8212" max="8212" width="22.42578125" style="126" customWidth="1"/>
    <col min="8213" max="8213" width="21.28515625" style="126" customWidth="1"/>
    <col min="8214" max="8214" width="29.140625" style="126" bestFit="1" customWidth="1"/>
    <col min="8215" max="8215" width="9.28515625" style="126" bestFit="1" customWidth="1"/>
    <col min="8216" max="8448" width="8.85546875" style="126"/>
    <col min="8449" max="8449" width="5.140625" style="126" customWidth="1"/>
    <col min="8450" max="8450" width="30.140625" style="126" customWidth="1"/>
    <col min="8451" max="8451" width="12.140625" style="126" bestFit="1" customWidth="1"/>
    <col min="8452" max="8453" width="11" style="126" bestFit="1" customWidth="1"/>
    <col min="8454" max="8454" width="11.28515625" style="126" customWidth="1"/>
    <col min="8455" max="8455" width="10.7109375" style="126" customWidth="1"/>
    <col min="8456" max="8456" width="9.85546875" style="126" customWidth="1"/>
    <col min="8457" max="8458" width="11" style="126" customWidth="1"/>
    <col min="8459" max="8459" width="9.85546875" style="126" customWidth="1"/>
    <col min="8460" max="8462" width="11" style="126" customWidth="1"/>
    <col min="8463" max="8463" width="10.140625" style="126" customWidth="1"/>
    <col min="8464" max="8464" width="10.7109375" style="126" customWidth="1"/>
    <col min="8465" max="8465" width="11" style="126" customWidth="1"/>
    <col min="8466" max="8466" width="9" style="126" customWidth="1"/>
    <col min="8467" max="8467" width="10.140625" style="126" customWidth="1"/>
    <col min="8468" max="8468" width="22.42578125" style="126" customWidth="1"/>
    <col min="8469" max="8469" width="21.28515625" style="126" customWidth="1"/>
    <col min="8470" max="8470" width="29.140625" style="126" bestFit="1" customWidth="1"/>
    <col min="8471" max="8471" width="9.28515625" style="126" bestFit="1" customWidth="1"/>
    <col min="8472" max="8704" width="8.85546875" style="126"/>
    <col min="8705" max="8705" width="5.140625" style="126" customWidth="1"/>
    <col min="8706" max="8706" width="30.140625" style="126" customWidth="1"/>
    <col min="8707" max="8707" width="12.140625" style="126" bestFit="1" customWidth="1"/>
    <col min="8708" max="8709" width="11" style="126" bestFit="1" customWidth="1"/>
    <col min="8710" max="8710" width="11.28515625" style="126" customWidth="1"/>
    <col min="8711" max="8711" width="10.7109375" style="126" customWidth="1"/>
    <col min="8712" max="8712" width="9.85546875" style="126" customWidth="1"/>
    <col min="8713" max="8714" width="11" style="126" customWidth="1"/>
    <col min="8715" max="8715" width="9.85546875" style="126" customWidth="1"/>
    <col min="8716" max="8718" width="11" style="126" customWidth="1"/>
    <col min="8719" max="8719" width="10.140625" style="126" customWidth="1"/>
    <col min="8720" max="8720" width="10.7109375" style="126" customWidth="1"/>
    <col min="8721" max="8721" width="11" style="126" customWidth="1"/>
    <col min="8722" max="8722" width="9" style="126" customWidth="1"/>
    <col min="8723" max="8723" width="10.140625" style="126" customWidth="1"/>
    <col min="8724" max="8724" width="22.42578125" style="126" customWidth="1"/>
    <col min="8725" max="8725" width="21.28515625" style="126" customWidth="1"/>
    <col min="8726" max="8726" width="29.140625" style="126" bestFit="1" customWidth="1"/>
    <col min="8727" max="8727" width="9.28515625" style="126" bestFit="1" customWidth="1"/>
    <col min="8728" max="8960" width="8.85546875" style="126"/>
    <col min="8961" max="8961" width="5.140625" style="126" customWidth="1"/>
    <col min="8962" max="8962" width="30.140625" style="126" customWidth="1"/>
    <col min="8963" max="8963" width="12.140625" style="126" bestFit="1" customWidth="1"/>
    <col min="8964" max="8965" width="11" style="126" bestFit="1" customWidth="1"/>
    <col min="8966" max="8966" width="11.28515625" style="126" customWidth="1"/>
    <col min="8967" max="8967" width="10.7109375" style="126" customWidth="1"/>
    <col min="8968" max="8968" width="9.85546875" style="126" customWidth="1"/>
    <col min="8969" max="8970" width="11" style="126" customWidth="1"/>
    <col min="8971" max="8971" width="9.85546875" style="126" customWidth="1"/>
    <col min="8972" max="8974" width="11" style="126" customWidth="1"/>
    <col min="8975" max="8975" width="10.140625" style="126" customWidth="1"/>
    <col min="8976" max="8976" width="10.7109375" style="126" customWidth="1"/>
    <col min="8977" max="8977" width="11" style="126" customWidth="1"/>
    <col min="8978" max="8978" width="9" style="126" customWidth="1"/>
    <col min="8979" max="8979" width="10.140625" style="126" customWidth="1"/>
    <col min="8980" max="8980" width="22.42578125" style="126" customWidth="1"/>
    <col min="8981" max="8981" width="21.28515625" style="126" customWidth="1"/>
    <col min="8982" max="8982" width="29.140625" style="126" bestFit="1" customWidth="1"/>
    <col min="8983" max="8983" width="9.28515625" style="126" bestFit="1" customWidth="1"/>
    <col min="8984" max="9216" width="8.85546875" style="126"/>
    <col min="9217" max="9217" width="5.140625" style="126" customWidth="1"/>
    <col min="9218" max="9218" width="30.140625" style="126" customWidth="1"/>
    <col min="9219" max="9219" width="12.140625" style="126" bestFit="1" customWidth="1"/>
    <col min="9220" max="9221" width="11" style="126" bestFit="1" customWidth="1"/>
    <col min="9222" max="9222" width="11.28515625" style="126" customWidth="1"/>
    <col min="9223" max="9223" width="10.7109375" style="126" customWidth="1"/>
    <col min="9224" max="9224" width="9.85546875" style="126" customWidth="1"/>
    <col min="9225" max="9226" width="11" style="126" customWidth="1"/>
    <col min="9227" max="9227" width="9.85546875" style="126" customWidth="1"/>
    <col min="9228" max="9230" width="11" style="126" customWidth="1"/>
    <col min="9231" max="9231" width="10.140625" style="126" customWidth="1"/>
    <col min="9232" max="9232" width="10.7109375" style="126" customWidth="1"/>
    <col min="9233" max="9233" width="11" style="126" customWidth="1"/>
    <col min="9234" max="9234" width="9" style="126" customWidth="1"/>
    <col min="9235" max="9235" width="10.140625" style="126" customWidth="1"/>
    <col min="9236" max="9236" width="22.42578125" style="126" customWidth="1"/>
    <col min="9237" max="9237" width="21.28515625" style="126" customWidth="1"/>
    <col min="9238" max="9238" width="29.140625" style="126" bestFit="1" customWidth="1"/>
    <col min="9239" max="9239" width="9.28515625" style="126" bestFit="1" customWidth="1"/>
    <col min="9240" max="9472" width="8.85546875" style="126"/>
    <col min="9473" max="9473" width="5.140625" style="126" customWidth="1"/>
    <col min="9474" max="9474" width="30.140625" style="126" customWidth="1"/>
    <col min="9475" max="9475" width="12.140625" style="126" bestFit="1" customWidth="1"/>
    <col min="9476" max="9477" width="11" style="126" bestFit="1" customWidth="1"/>
    <col min="9478" max="9478" width="11.28515625" style="126" customWidth="1"/>
    <col min="9479" max="9479" width="10.7109375" style="126" customWidth="1"/>
    <col min="9480" max="9480" width="9.85546875" style="126" customWidth="1"/>
    <col min="9481" max="9482" width="11" style="126" customWidth="1"/>
    <col min="9483" max="9483" width="9.85546875" style="126" customWidth="1"/>
    <col min="9484" max="9486" width="11" style="126" customWidth="1"/>
    <col min="9487" max="9487" width="10.140625" style="126" customWidth="1"/>
    <col min="9488" max="9488" width="10.7109375" style="126" customWidth="1"/>
    <col min="9489" max="9489" width="11" style="126" customWidth="1"/>
    <col min="9490" max="9490" width="9" style="126" customWidth="1"/>
    <col min="9491" max="9491" width="10.140625" style="126" customWidth="1"/>
    <col min="9492" max="9492" width="22.42578125" style="126" customWidth="1"/>
    <col min="9493" max="9493" width="21.28515625" style="126" customWidth="1"/>
    <col min="9494" max="9494" width="29.140625" style="126" bestFit="1" customWidth="1"/>
    <col min="9495" max="9495" width="9.28515625" style="126" bestFit="1" customWidth="1"/>
    <col min="9496" max="9728" width="8.85546875" style="126"/>
    <col min="9729" max="9729" width="5.140625" style="126" customWidth="1"/>
    <col min="9730" max="9730" width="30.140625" style="126" customWidth="1"/>
    <col min="9731" max="9731" width="12.140625" style="126" bestFit="1" customWidth="1"/>
    <col min="9732" max="9733" width="11" style="126" bestFit="1" customWidth="1"/>
    <col min="9734" max="9734" width="11.28515625" style="126" customWidth="1"/>
    <col min="9735" max="9735" width="10.7109375" style="126" customWidth="1"/>
    <col min="9736" max="9736" width="9.85546875" style="126" customWidth="1"/>
    <col min="9737" max="9738" width="11" style="126" customWidth="1"/>
    <col min="9739" max="9739" width="9.85546875" style="126" customWidth="1"/>
    <col min="9740" max="9742" width="11" style="126" customWidth="1"/>
    <col min="9743" max="9743" width="10.140625" style="126" customWidth="1"/>
    <col min="9744" max="9744" width="10.7109375" style="126" customWidth="1"/>
    <col min="9745" max="9745" width="11" style="126" customWidth="1"/>
    <col min="9746" max="9746" width="9" style="126" customWidth="1"/>
    <col min="9747" max="9747" width="10.140625" style="126" customWidth="1"/>
    <col min="9748" max="9748" width="22.42578125" style="126" customWidth="1"/>
    <col min="9749" max="9749" width="21.28515625" style="126" customWidth="1"/>
    <col min="9750" max="9750" width="29.140625" style="126" bestFit="1" customWidth="1"/>
    <col min="9751" max="9751" width="9.28515625" style="126" bestFit="1" customWidth="1"/>
    <col min="9752" max="9984" width="8.85546875" style="126"/>
    <col min="9985" max="9985" width="5.140625" style="126" customWidth="1"/>
    <col min="9986" max="9986" width="30.140625" style="126" customWidth="1"/>
    <col min="9987" max="9987" width="12.140625" style="126" bestFit="1" customWidth="1"/>
    <col min="9988" max="9989" width="11" style="126" bestFit="1" customWidth="1"/>
    <col min="9990" max="9990" width="11.28515625" style="126" customWidth="1"/>
    <col min="9991" max="9991" width="10.7109375" style="126" customWidth="1"/>
    <col min="9992" max="9992" width="9.85546875" style="126" customWidth="1"/>
    <col min="9993" max="9994" width="11" style="126" customWidth="1"/>
    <col min="9995" max="9995" width="9.85546875" style="126" customWidth="1"/>
    <col min="9996" max="9998" width="11" style="126" customWidth="1"/>
    <col min="9999" max="9999" width="10.140625" style="126" customWidth="1"/>
    <col min="10000" max="10000" width="10.7109375" style="126" customWidth="1"/>
    <col min="10001" max="10001" width="11" style="126" customWidth="1"/>
    <col min="10002" max="10002" width="9" style="126" customWidth="1"/>
    <col min="10003" max="10003" width="10.140625" style="126" customWidth="1"/>
    <col min="10004" max="10004" width="22.42578125" style="126" customWidth="1"/>
    <col min="10005" max="10005" width="21.28515625" style="126" customWidth="1"/>
    <col min="10006" max="10006" width="29.140625" style="126" bestFit="1" customWidth="1"/>
    <col min="10007" max="10007" width="9.28515625" style="126" bestFit="1" customWidth="1"/>
    <col min="10008" max="10240" width="8.85546875" style="126"/>
    <col min="10241" max="10241" width="5.140625" style="126" customWidth="1"/>
    <col min="10242" max="10242" width="30.140625" style="126" customWidth="1"/>
    <col min="10243" max="10243" width="12.140625" style="126" bestFit="1" customWidth="1"/>
    <col min="10244" max="10245" width="11" style="126" bestFit="1" customWidth="1"/>
    <col min="10246" max="10246" width="11.28515625" style="126" customWidth="1"/>
    <col min="10247" max="10247" width="10.7109375" style="126" customWidth="1"/>
    <col min="10248" max="10248" width="9.85546875" style="126" customWidth="1"/>
    <col min="10249" max="10250" width="11" style="126" customWidth="1"/>
    <col min="10251" max="10251" width="9.85546875" style="126" customWidth="1"/>
    <col min="10252" max="10254" width="11" style="126" customWidth="1"/>
    <col min="10255" max="10255" width="10.140625" style="126" customWidth="1"/>
    <col min="10256" max="10256" width="10.7109375" style="126" customWidth="1"/>
    <col min="10257" max="10257" width="11" style="126" customWidth="1"/>
    <col min="10258" max="10258" width="9" style="126" customWidth="1"/>
    <col min="10259" max="10259" width="10.140625" style="126" customWidth="1"/>
    <col min="10260" max="10260" width="22.42578125" style="126" customWidth="1"/>
    <col min="10261" max="10261" width="21.28515625" style="126" customWidth="1"/>
    <col min="10262" max="10262" width="29.140625" style="126" bestFit="1" customWidth="1"/>
    <col min="10263" max="10263" width="9.28515625" style="126" bestFit="1" customWidth="1"/>
    <col min="10264" max="10496" width="8.85546875" style="126"/>
    <col min="10497" max="10497" width="5.140625" style="126" customWidth="1"/>
    <col min="10498" max="10498" width="30.140625" style="126" customWidth="1"/>
    <col min="10499" max="10499" width="12.140625" style="126" bestFit="1" customWidth="1"/>
    <col min="10500" max="10501" width="11" style="126" bestFit="1" customWidth="1"/>
    <col min="10502" max="10502" width="11.28515625" style="126" customWidth="1"/>
    <col min="10503" max="10503" width="10.7109375" style="126" customWidth="1"/>
    <col min="10504" max="10504" width="9.85546875" style="126" customWidth="1"/>
    <col min="10505" max="10506" width="11" style="126" customWidth="1"/>
    <col min="10507" max="10507" width="9.85546875" style="126" customWidth="1"/>
    <col min="10508" max="10510" width="11" style="126" customWidth="1"/>
    <col min="10511" max="10511" width="10.140625" style="126" customWidth="1"/>
    <col min="10512" max="10512" width="10.7109375" style="126" customWidth="1"/>
    <col min="10513" max="10513" width="11" style="126" customWidth="1"/>
    <col min="10514" max="10514" width="9" style="126" customWidth="1"/>
    <col min="10515" max="10515" width="10.140625" style="126" customWidth="1"/>
    <col min="10516" max="10516" width="22.42578125" style="126" customWidth="1"/>
    <col min="10517" max="10517" width="21.28515625" style="126" customWidth="1"/>
    <col min="10518" max="10518" width="29.140625" style="126" bestFit="1" customWidth="1"/>
    <col min="10519" max="10519" width="9.28515625" style="126" bestFit="1" customWidth="1"/>
    <col min="10520" max="10752" width="8.85546875" style="126"/>
    <col min="10753" max="10753" width="5.140625" style="126" customWidth="1"/>
    <col min="10754" max="10754" width="30.140625" style="126" customWidth="1"/>
    <col min="10755" max="10755" width="12.140625" style="126" bestFit="1" customWidth="1"/>
    <col min="10756" max="10757" width="11" style="126" bestFit="1" customWidth="1"/>
    <col min="10758" max="10758" width="11.28515625" style="126" customWidth="1"/>
    <col min="10759" max="10759" width="10.7109375" style="126" customWidth="1"/>
    <col min="10760" max="10760" width="9.85546875" style="126" customWidth="1"/>
    <col min="10761" max="10762" width="11" style="126" customWidth="1"/>
    <col min="10763" max="10763" width="9.85546875" style="126" customWidth="1"/>
    <col min="10764" max="10766" width="11" style="126" customWidth="1"/>
    <col min="10767" max="10767" width="10.140625" style="126" customWidth="1"/>
    <col min="10768" max="10768" width="10.7109375" style="126" customWidth="1"/>
    <col min="10769" max="10769" width="11" style="126" customWidth="1"/>
    <col min="10770" max="10770" width="9" style="126" customWidth="1"/>
    <col min="10771" max="10771" width="10.140625" style="126" customWidth="1"/>
    <col min="10772" max="10772" width="22.42578125" style="126" customWidth="1"/>
    <col min="10773" max="10773" width="21.28515625" style="126" customWidth="1"/>
    <col min="10774" max="10774" width="29.140625" style="126" bestFit="1" customWidth="1"/>
    <col min="10775" max="10775" width="9.28515625" style="126" bestFit="1" customWidth="1"/>
    <col min="10776" max="11008" width="8.85546875" style="126"/>
    <col min="11009" max="11009" width="5.140625" style="126" customWidth="1"/>
    <col min="11010" max="11010" width="30.140625" style="126" customWidth="1"/>
    <col min="11011" max="11011" width="12.140625" style="126" bestFit="1" customWidth="1"/>
    <col min="11012" max="11013" width="11" style="126" bestFit="1" customWidth="1"/>
    <col min="11014" max="11014" width="11.28515625" style="126" customWidth="1"/>
    <col min="11015" max="11015" width="10.7109375" style="126" customWidth="1"/>
    <col min="11016" max="11016" width="9.85546875" style="126" customWidth="1"/>
    <col min="11017" max="11018" width="11" style="126" customWidth="1"/>
    <col min="11019" max="11019" width="9.85546875" style="126" customWidth="1"/>
    <col min="11020" max="11022" width="11" style="126" customWidth="1"/>
    <col min="11023" max="11023" width="10.140625" style="126" customWidth="1"/>
    <col min="11024" max="11024" width="10.7109375" style="126" customWidth="1"/>
    <col min="11025" max="11025" width="11" style="126" customWidth="1"/>
    <col min="11026" max="11026" width="9" style="126" customWidth="1"/>
    <col min="11027" max="11027" width="10.140625" style="126" customWidth="1"/>
    <col min="11028" max="11028" width="22.42578125" style="126" customWidth="1"/>
    <col min="11029" max="11029" width="21.28515625" style="126" customWidth="1"/>
    <col min="11030" max="11030" width="29.140625" style="126" bestFit="1" customWidth="1"/>
    <col min="11031" max="11031" width="9.28515625" style="126" bestFit="1" customWidth="1"/>
    <col min="11032" max="11264" width="8.85546875" style="126"/>
    <col min="11265" max="11265" width="5.140625" style="126" customWidth="1"/>
    <col min="11266" max="11266" width="30.140625" style="126" customWidth="1"/>
    <col min="11267" max="11267" width="12.140625" style="126" bestFit="1" customWidth="1"/>
    <col min="11268" max="11269" width="11" style="126" bestFit="1" customWidth="1"/>
    <col min="11270" max="11270" width="11.28515625" style="126" customWidth="1"/>
    <col min="11271" max="11271" width="10.7109375" style="126" customWidth="1"/>
    <col min="11272" max="11272" width="9.85546875" style="126" customWidth="1"/>
    <col min="11273" max="11274" width="11" style="126" customWidth="1"/>
    <col min="11275" max="11275" width="9.85546875" style="126" customWidth="1"/>
    <col min="11276" max="11278" width="11" style="126" customWidth="1"/>
    <col min="11279" max="11279" width="10.140625" style="126" customWidth="1"/>
    <col min="11280" max="11280" width="10.7109375" style="126" customWidth="1"/>
    <col min="11281" max="11281" width="11" style="126" customWidth="1"/>
    <col min="11282" max="11282" width="9" style="126" customWidth="1"/>
    <col min="11283" max="11283" width="10.140625" style="126" customWidth="1"/>
    <col min="11284" max="11284" width="22.42578125" style="126" customWidth="1"/>
    <col min="11285" max="11285" width="21.28515625" style="126" customWidth="1"/>
    <col min="11286" max="11286" width="29.140625" style="126" bestFit="1" customWidth="1"/>
    <col min="11287" max="11287" width="9.28515625" style="126" bestFit="1" customWidth="1"/>
    <col min="11288" max="11520" width="8.85546875" style="126"/>
    <col min="11521" max="11521" width="5.140625" style="126" customWidth="1"/>
    <col min="11522" max="11522" width="30.140625" style="126" customWidth="1"/>
    <col min="11523" max="11523" width="12.140625" style="126" bestFit="1" customWidth="1"/>
    <col min="11524" max="11525" width="11" style="126" bestFit="1" customWidth="1"/>
    <col min="11526" max="11526" width="11.28515625" style="126" customWidth="1"/>
    <col min="11527" max="11527" width="10.7109375" style="126" customWidth="1"/>
    <col min="11528" max="11528" width="9.85546875" style="126" customWidth="1"/>
    <col min="11529" max="11530" width="11" style="126" customWidth="1"/>
    <col min="11531" max="11531" width="9.85546875" style="126" customWidth="1"/>
    <col min="11532" max="11534" width="11" style="126" customWidth="1"/>
    <col min="11535" max="11535" width="10.140625" style="126" customWidth="1"/>
    <col min="11536" max="11536" width="10.7109375" style="126" customWidth="1"/>
    <col min="11537" max="11537" width="11" style="126" customWidth="1"/>
    <col min="11538" max="11538" width="9" style="126" customWidth="1"/>
    <col min="11539" max="11539" width="10.140625" style="126" customWidth="1"/>
    <col min="11540" max="11540" width="22.42578125" style="126" customWidth="1"/>
    <col min="11541" max="11541" width="21.28515625" style="126" customWidth="1"/>
    <col min="11542" max="11542" width="29.140625" style="126" bestFit="1" customWidth="1"/>
    <col min="11543" max="11543" width="9.28515625" style="126" bestFit="1" customWidth="1"/>
    <col min="11544" max="11776" width="8.85546875" style="126"/>
    <col min="11777" max="11777" width="5.140625" style="126" customWidth="1"/>
    <col min="11778" max="11778" width="30.140625" style="126" customWidth="1"/>
    <col min="11779" max="11779" width="12.140625" style="126" bestFit="1" customWidth="1"/>
    <col min="11780" max="11781" width="11" style="126" bestFit="1" customWidth="1"/>
    <col min="11782" max="11782" width="11.28515625" style="126" customWidth="1"/>
    <col min="11783" max="11783" width="10.7109375" style="126" customWidth="1"/>
    <col min="11784" max="11784" width="9.85546875" style="126" customWidth="1"/>
    <col min="11785" max="11786" width="11" style="126" customWidth="1"/>
    <col min="11787" max="11787" width="9.85546875" style="126" customWidth="1"/>
    <col min="11788" max="11790" width="11" style="126" customWidth="1"/>
    <col min="11791" max="11791" width="10.140625" style="126" customWidth="1"/>
    <col min="11792" max="11792" width="10.7109375" style="126" customWidth="1"/>
    <col min="11793" max="11793" width="11" style="126" customWidth="1"/>
    <col min="11794" max="11794" width="9" style="126" customWidth="1"/>
    <col min="11795" max="11795" width="10.140625" style="126" customWidth="1"/>
    <col min="11796" max="11796" width="22.42578125" style="126" customWidth="1"/>
    <col min="11797" max="11797" width="21.28515625" style="126" customWidth="1"/>
    <col min="11798" max="11798" width="29.140625" style="126" bestFit="1" customWidth="1"/>
    <col min="11799" max="11799" width="9.28515625" style="126" bestFit="1" customWidth="1"/>
    <col min="11800" max="12032" width="8.85546875" style="126"/>
    <col min="12033" max="12033" width="5.140625" style="126" customWidth="1"/>
    <col min="12034" max="12034" width="30.140625" style="126" customWidth="1"/>
    <col min="12035" max="12035" width="12.140625" style="126" bestFit="1" customWidth="1"/>
    <col min="12036" max="12037" width="11" style="126" bestFit="1" customWidth="1"/>
    <col min="12038" max="12038" width="11.28515625" style="126" customWidth="1"/>
    <col min="12039" max="12039" width="10.7109375" style="126" customWidth="1"/>
    <col min="12040" max="12040" width="9.85546875" style="126" customWidth="1"/>
    <col min="12041" max="12042" width="11" style="126" customWidth="1"/>
    <col min="12043" max="12043" width="9.85546875" style="126" customWidth="1"/>
    <col min="12044" max="12046" width="11" style="126" customWidth="1"/>
    <col min="12047" max="12047" width="10.140625" style="126" customWidth="1"/>
    <col min="12048" max="12048" width="10.7109375" style="126" customWidth="1"/>
    <col min="12049" max="12049" width="11" style="126" customWidth="1"/>
    <col min="12050" max="12050" width="9" style="126" customWidth="1"/>
    <col min="12051" max="12051" width="10.140625" style="126" customWidth="1"/>
    <col min="12052" max="12052" width="22.42578125" style="126" customWidth="1"/>
    <col min="12053" max="12053" width="21.28515625" style="126" customWidth="1"/>
    <col min="12054" max="12054" width="29.140625" style="126" bestFit="1" customWidth="1"/>
    <col min="12055" max="12055" width="9.28515625" style="126" bestFit="1" customWidth="1"/>
    <col min="12056" max="12288" width="8.85546875" style="126"/>
    <col min="12289" max="12289" width="5.140625" style="126" customWidth="1"/>
    <col min="12290" max="12290" width="30.140625" style="126" customWidth="1"/>
    <col min="12291" max="12291" width="12.140625" style="126" bestFit="1" customWidth="1"/>
    <col min="12292" max="12293" width="11" style="126" bestFit="1" customWidth="1"/>
    <col min="12294" max="12294" width="11.28515625" style="126" customWidth="1"/>
    <col min="12295" max="12295" width="10.7109375" style="126" customWidth="1"/>
    <col min="12296" max="12296" width="9.85546875" style="126" customWidth="1"/>
    <col min="12297" max="12298" width="11" style="126" customWidth="1"/>
    <col min="12299" max="12299" width="9.85546875" style="126" customWidth="1"/>
    <col min="12300" max="12302" width="11" style="126" customWidth="1"/>
    <col min="12303" max="12303" width="10.140625" style="126" customWidth="1"/>
    <col min="12304" max="12304" width="10.7109375" style="126" customWidth="1"/>
    <col min="12305" max="12305" width="11" style="126" customWidth="1"/>
    <col min="12306" max="12306" width="9" style="126" customWidth="1"/>
    <col min="12307" max="12307" width="10.140625" style="126" customWidth="1"/>
    <col min="12308" max="12308" width="22.42578125" style="126" customWidth="1"/>
    <col min="12309" max="12309" width="21.28515625" style="126" customWidth="1"/>
    <col min="12310" max="12310" width="29.140625" style="126" bestFit="1" customWidth="1"/>
    <col min="12311" max="12311" width="9.28515625" style="126" bestFit="1" customWidth="1"/>
    <col min="12312" max="12544" width="8.85546875" style="126"/>
    <col min="12545" max="12545" width="5.140625" style="126" customWidth="1"/>
    <col min="12546" max="12546" width="30.140625" style="126" customWidth="1"/>
    <col min="12547" max="12547" width="12.140625" style="126" bestFit="1" customWidth="1"/>
    <col min="12548" max="12549" width="11" style="126" bestFit="1" customWidth="1"/>
    <col min="12550" max="12550" width="11.28515625" style="126" customWidth="1"/>
    <col min="12551" max="12551" width="10.7109375" style="126" customWidth="1"/>
    <col min="12552" max="12552" width="9.85546875" style="126" customWidth="1"/>
    <col min="12553" max="12554" width="11" style="126" customWidth="1"/>
    <col min="12555" max="12555" width="9.85546875" style="126" customWidth="1"/>
    <col min="12556" max="12558" width="11" style="126" customWidth="1"/>
    <col min="12559" max="12559" width="10.140625" style="126" customWidth="1"/>
    <col min="12560" max="12560" width="10.7109375" style="126" customWidth="1"/>
    <col min="12561" max="12561" width="11" style="126" customWidth="1"/>
    <col min="12562" max="12562" width="9" style="126" customWidth="1"/>
    <col min="12563" max="12563" width="10.140625" style="126" customWidth="1"/>
    <col min="12564" max="12564" width="22.42578125" style="126" customWidth="1"/>
    <col min="12565" max="12565" width="21.28515625" style="126" customWidth="1"/>
    <col min="12566" max="12566" width="29.140625" style="126" bestFit="1" customWidth="1"/>
    <col min="12567" max="12567" width="9.28515625" style="126" bestFit="1" customWidth="1"/>
    <col min="12568" max="12800" width="8.85546875" style="126"/>
    <col min="12801" max="12801" width="5.140625" style="126" customWidth="1"/>
    <col min="12802" max="12802" width="30.140625" style="126" customWidth="1"/>
    <col min="12803" max="12803" width="12.140625" style="126" bestFit="1" customWidth="1"/>
    <col min="12804" max="12805" width="11" style="126" bestFit="1" customWidth="1"/>
    <col min="12806" max="12806" width="11.28515625" style="126" customWidth="1"/>
    <col min="12807" max="12807" width="10.7109375" style="126" customWidth="1"/>
    <col min="12808" max="12808" width="9.85546875" style="126" customWidth="1"/>
    <col min="12809" max="12810" width="11" style="126" customWidth="1"/>
    <col min="12811" max="12811" width="9.85546875" style="126" customWidth="1"/>
    <col min="12812" max="12814" width="11" style="126" customWidth="1"/>
    <col min="12815" max="12815" width="10.140625" style="126" customWidth="1"/>
    <col min="12816" max="12816" width="10.7109375" style="126" customWidth="1"/>
    <col min="12817" max="12817" width="11" style="126" customWidth="1"/>
    <col min="12818" max="12818" width="9" style="126" customWidth="1"/>
    <col min="12819" max="12819" width="10.140625" style="126" customWidth="1"/>
    <col min="12820" max="12820" width="22.42578125" style="126" customWidth="1"/>
    <col min="12821" max="12821" width="21.28515625" style="126" customWidth="1"/>
    <col min="12822" max="12822" width="29.140625" style="126" bestFit="1" customWidth="1"/>
    <col min="12823" max="12823" width="9.28515625" style="126" bestFit="1" customWidth="1"/>
    <col min="12824" max="13056" width="8.85546875" style="126"/>
    <col min="13057" max="13057" width="5.140625" style="126" customWidth="1"/>
    <col min="13058" max="13058" width="30.140625" style="126" customWidth="1"/>
    <col min="13059" max="13059" width="12.140625" style="126" bestFit="1" customWidth="1"/>
    <col min="13060" max="13061" width="11" style="126" bestFit="1" customWidth="1"/>
    <col min="13062" max="13062" width="11.28515625" style="126" customWidth="1"/>
    <col min="13063" max="13063" width="10.7109375" style="126" customWidth="1"/>
    <col min="13064" max="13064" width="9.85546875" style="126" customWidth="1"/>
    <col min="13065" max="13066" width="11" style="126" customWidth="1"/>
    <col min="13067" max="13067" width="9.85546875" style="126" customWidth="1"/>
    <col min="13068" max="13070" width="11" style="126" customWidth="1"/>
    <col min="13071" max="13071" width="10.140625" style="126" customWidth="1"/>
    <col min="13072" max="13072" width="10.7109375" style="126" customWidth="1"/>
    <col min="13073" max="13073" width="11" style="126" customWidth="1"/>
    <col min="13074" max="13074" width="9" style="126" customWidth="1"/>
    <col min="13075" max="13075" width="10.140625" style="126" customWidth="1"/>
    <col min="13076" max="13076" width="22.42578125" style="126" customWidth="1"/>
    <col min="13077" max="13077" width="21.28515625" style="126" customWidth="1"/>
    <col min="13078" max="13078" width="29.140625" style="126" bestFit="1" customWidth="1"/>
    <col min="13079" max="13079" width="9.28515625" style="126" bestFit="1" customWidth="1"/>
    <col min="13080" max="13312" width="8.85546875" style="126"/>
    <col min="13313" max="13313" width="5.140625" style="126" customWidth="1"/>
    <col min="13314" max="13314" width="30.140625" style="126" customWidth="1"/>
    <col min="13315" max="13315" width="12.140625" style="126" bestFit="1" customWidth="1"/>
    <col min="13316" max="13317" width="11" style="126" bestFit="1" customWidth="1"/>
    <col min="13318" max="13318" width="11.28515625" style="126" customWidth="1"/>
    <col min="13319" max="13319" width="10.7109375" style="126" customWidth="1"/>
    <col min="13320" max="13320" width="9.85546875" style="126" customWidth="1"/>
    <col min="13321" max="13322" width="11" style="126" customWidth="1"/>
    <col min="13323" max="13323" width="9.85546875" style="126" customWidth="1"/>
    <col min="13324" max="13326" width="11" style="126" customWidth="1"/>
    <col min="13327" max="13327" width="10.140625" style="126" customWidth="1"/>
    <col min="13328" max="13328" width="10.7109375" style="126" customWidth="1"/>
    <col min="13329" max="13329" width="11" style="126" customWidth="1"/>
    <col min="13330" max="13330" width="9" style="126" customWidth="1"/>
    <col min="13331" max="13331" width="10.140625" style="126" customWidth="1"/>
    <col min="13332" max="13332" width="22.42578125" style="126" customWidth="1"/>
    <col min="13333" max="13333" width="21.28515625" style="126" customWidth="1"/>
    <col min="13334" max="13334" width="29.140625" style="126" bestFit="1" customWidth="1"/>
    <col min="13335" max="13335" width="9.28515625" style="126" bestFit="1" customWidth="1"/>
    <col min="13336" max="13568" width="8.85546875" style="126"/>
    <col min="13569" max="13569" width="5.140625" style="126" customWidth="1"/>
    <col min="13570" max="13570" width="30.140625" style="126" customWidth="1"/>
    <col min="13571" max="13571" width="12.140625" style="126" bestFit="1" customWidth="1"/>
    <col min="13572" max="13573" width="11" style="126" bestFit="1" customWidth="1"/>
    <col min="13574" max="13574" width="11.28515625" style="126" customWidth="1"/>
    <col min="13575" max="13575" width="10.7109375" style="126" customWidth="1"/>
    <col min="13576" max="13576" width="9.85546875" style="126" customWidth="1"/>
    <col min="13577" max="13578" width="11" style="126" customWidth="1"/>
    <col min="13579" max="13579" width="9.85546875" style="126" customWidth="1"/>
    <col min="13580" max="13582" width="11" style="126" customWidth="1"/>
    <col min="13583" max="13583" width="10.140625" style="126" customWidth="1"/>
    <col min="13584" max="13584" width="10.7109375" style="126" customWidth="1"/>
    <col min="13585" max="13585" width="11" style="126" customWidth="1"/>
    <col min="13586" max="13586" width="9" style="126" customWidth="1"/>
    <col min="13587" max="13587" width="10.140625" style="126" customWidth="1"/>
    <col min="13588" max="13588" width="22.42578125" style="126" customWidth="1"/>
    <col min="13589" max="13589" width="21.28515625" style="126" customWidth="1"/>
    <col min="13590" max="13590" width="29.140625" style="126" bestFit="1" customWidth="1"/>
    <col min="13591" max="13591" width="9.28515625" style="126" bestFit="1" customWidth="1"/>
    <col min="13592" max="13824" width="8.85546875" style="126"/>
    <col min="13825" max="13825" width="5.140625" style="126" customWidth="1"/>
    <col min="13826" max="13826" width="30.140625" style="126" customWidth="1"/>
    <col min="13827" max="13827" width="12.140625" style="126" bestFit="1" customWidth="1"/>
    <col min="13828" max="13829" width="11" style="126" bestFit="1" customWidth="1"/>
    <col min="13830" max="13830" width="11.28515625" style="126" customWidth="1"/>
    <col min="13831" max="13831" width="10.7109375" style="126" customWidth="1"/>
    <col min="13832" max="13832" width="9.85546875" style="126" customWidth="1"/>
    <col min="13833" max="13834" width="11" style="126" customWidth="1"/>
    <col min="13835" max="13835" width="9.85546875" style="126" customWidth="1"/>
    <col min="13836" max="13838" width="11" style="126" customWidth="1"/>
    <col min="13839" max="13839" width="10.140625" style="126" customWidth="1"/>
    <col min="13840" max="13840" width="10.7109375" style="126" customWidth="1"/>
    <col min="13841" max="13841" width="11" style="126" customWidth="1"/>
    <col min="13842" max="13842" width="9" style="126" customWidth="1"/>
    <col min="13843" max="13843" width="10.140625" style="126" customWidth="1"/>
    <col min="13844" max="13844" width="22.42578125" style="126" customWidth="1"/>
    <col min="13845" max="13845" width="21.28515625" style="126" customWidth="1"/>
    <col min="13846" max="13846" width="29.140625" style="126" bestFit="1" customWidth="1"/>
    <col min="13847" max="13847" width="9.28515625" style="126" bestFit="1" customWidth="1"/>
    <col min="13848" max="14080" width="8.85546875" style="126"/>
    <col min="14081" max="14081" width="5.140625" style="126" customWidth="1"/>
    <col min="14082" max="14082" width="30.140625" style="126" customWidth="1"/>
    <col min="14083" max="14083" width="12.140625" style="126" bestFit="1" customWidth="1"/>
    <col min="14084" max="14085" width="11" style="126" bestFit="1" customWidth="1"/>
    <col min="14086" max="14086" width="11.28515625" style="126" customWidth="1"/>
    <col min="14087" max="14087" width="10.7109375" style="126" customWidth="1"/>
    <col min="14088" max="14088" width="9.85546875" style="126" customWidth="1"/>
    <col min="14089" max="14090" width="11" style="126" customWidth="1"/>
    <col min="14091" max="14091" width="9.85546875" style="126" customWidth="1"/>
    <col min="14092" max="14094" width="11" style="126" customWidth="1"/>
    <col min="14095" max="14095" width="10.140625" style="126" customWidth="1"/>
    <col min="14096" max="14096" width="10.7109375" style="126" customWidth="1"/>
    <col min="14097" max="14097" width="11" style="126" customWidth="1"/>
    <col min="14098" max="14098" width="9" style="126" customWidth="1"/>
    <col min="14099" max="14099" width="10.140625" style="126" customWidth="1"/>
    <col min="14100" max="14100" width="22.42578125" style="126" customWidth="1"/>
    <col min="14101" max="14101" width="21.28515625" style="126" customWidth="1"/>
    <col min="14102" max="14102" width="29.140625" style="126" bestFit="1" customWidth="1"/>
    <col min="14103" max="14103" width="9.28515625" style="126" bestFit="1" customWidth="1"/>
    <col min="14104" max="14336" width="8.85546875" style="126"/>
    <col min="14337" max="14337" width="5.140625" style="126" customWidth="1"/>
    <col min="14338" max="14338" width="30.140625" style="126" customWidth="1"/>
    <col min="14339" max="14339" width="12.140625" style="126" bestFit="1" customWidth="1"/>
    <col min="14340" max="14341" width="11" style="126" bestFit="1" customWidth="1"/>
    <col min="14342" max="14342" width="11.28515625" style="126" customWidth="1"/>
    <col min="14343" max="14343" width="10.7109375" style="126" customWidth="1"/>
    <col min="14344" max="14344" width="9.85546875" style="126" customWidth="1"/>
    <col min="14345" max="14346" width="11" style="126" customWidth="1"/>
    <col min="14347" max="14347" width="9.85546875" style="126" customWidth="1"/>
    <col min="14348" max="14350" width="11" style="126" customWidth="1"/>
    <col min="14351" max="14351" width="10.140625" style="126" customWidth="1"/>
    <col min="14352" max="14352" width="10.7109375" style="126" customWidth="1"/>
    <col min="14353" max="14353" width="11" style="126" customWidth="1"/>
    <col min="14354" max="14354" width="9" style="126" customWidth="1"/>
    <col min="14355" max="14355" width="10.140625" style="126" customWidth="1"/>
    <col min="14356" max="14356" width="22.42578125" style="126" customWidth="1"/>
    <col min="14357" max="14357" width="21.28515625" style="126" customWidth="1"/>
    <col min="14358" max="14358" width="29.140625" style="126" bestFit="1" customWidth="1"/>
    <col min="14359" max="14359" width="9.28515625" style="126" bestFit="1" customWidth="1"/>
    <col min="14360" max="14592" width="8.85546875" style="126"/>
    <col min="14593" max="14593" width="5.140625" style="126" customWidth="1"/>
    <col min="14594" max="14594" width="30.140625" style="126" customWidth="1"/>
    <col min="14595" max="14595" width="12.140625" style="126" bestFit="1" customWidth="1"/>
    <col min="14596" max="14597" width="11" style="126" bestFit="1" customWidth="1"/>
    <col min="14598" max="14598" width="11.28515625" style="126" customWidth="1"/>
    <col min="14599" max="14599" width="10.7109375" style="126" customWidth="1"/>
    <col min="14600" max="14600" width="9.85546875" style="126" customWidth="1"/>
    <col min="14601" max="14602" width="11" style="126" customWidth="1"/>
    <col min="14603" max="14603" width="9.85546875" style="126" customWidth="1"/>
    <col min="14604" max="14606" width="11" style="126" customWidth="1"/>
    <col min="14607" max="14607" width="10.140625" style="126" customWidth="1"/>
    <col min="14608" max="14608" width="10.7109375" style="126" customWidth="1"/>
    <col min="14609" max="14609" width="11" style="126" customWidth="1"/>
    <col min="14610" max="14610" width="9" style="126" customWidth="1"/>
    <col min="14611" max="14611" width="10.140625" style="126" customWidth="1"/>
    <col min="14612" max="14612" width="22.42578125" style="126" customWidth="1"/>
    <col min="14613" max="14613" width="21.28515625" style="126" customWidth="1"/>
    <col min="14614" max="14614" width="29.140625" style="126" bestFit="1" customWidth="1"/>
    <col min="14615" max="14615" width="9.28515625" style="126" bestFit="1" customWidth="1"/>
    <col min="14616" max="14848" width="8.85546875" style="126"/>
    <col min="14849" max="14849" width="5.140625" style="126" customWidth="1"/>
    <col min="14850" max="14850" width="30.140625" style="126" customWidth="1"/>
    <col min="14851" max="14851" width="12.140625" style="126" bestFit="1" customWidth="1"/>
    <col min="14852" max="14853" width="11" style="126" bestFit="1" customWidth="1"/>
    <col min="14854" max="14854" width="11.28515625" style="126" customWidth="1"/>
    <col min="14855" max="14855" width="10.7109375" style="126" customWidth="1"/>
    <col min="14856" max="14856" width="9.85546875" style="126" customWidth="1"/>
    <col min="14857" max="14858" width="11" style="126" customWidth="1"/>
    <col min="14859" max="14859" width="9.85546875" style="126" customWidth="1"/>
    <col min="14860" max="14862" width="11" style="126" customWidth="1"/>
    <col min="14863" max="14863" width="10.140625" style="126" customWidth="1"/>
    <col min="14864" max="14864" width="10.7109375" style="126" customWidth="1"/>
    <col min="14865" max="14865" width="11" style="126" customWidth="1"/>
    <col min="14866" max="14866" width="9" style="126" customWidth="1"/>
    <col min="14867" max="14867" width="10.140625" style="126" customWidth="1"/>
    <col min="14868" max="14868" width="22.42578125" style="126" customWidth="1"/>
    <col min="14869" max="14869" width="21.28515625" style="126" customWidth="1"/>
    <col min="14870" max="14870" width="29.140625" style="126" bestFit="1" customWidth="1"/>
    <col min="14871" max="14871" width="9.28515625" style="126" bestFit="1" customWidth="1"/>
    <col min="14872" max="15104" width="8.85546875" style="126"/>
    <col min="15105" max="15105" width="5.140625" style="126" customWidth="1"/>
    <col min="15106" max="15106" width="30.140625" style="126" customWidth="1"/>
    <col min="15107" max="15107" width="12.140625" style="126" bestFit="1" customWidth="1"/>
    <col min="15108" max="15109" width="11" style="126" bestFit="1" customWidth="1"/>
    <col min="15110" max="15110" width="11.28515625" style="126" customWidth="1"/>
    <col min="15111" max="15111" width="10.7109375" style="126" customWidth="1"/>
    <col min="15112" max="15112" width="9.85546875" style="126" customWidth="1"/>
    <col min="15113" max="15114" width="11" style="126" customWidth="1"/>
    <col min="15115" max="15115" width="9.85546875" style="126" customWidth="1"/>
    <col min="15116" max="15118" width="11" style="126" customWidth="1"/>
    <col min="15119" max="15119" width="10.140625" style="126" customWidth="1"/>
    <col min="15120" max="15120" width="10.7109375" style="126" customWidth="1"/>
    <col min="15121" max="15121" width="11" style="126" customWidth="1"/>
    <col min="15122" max="15122" width="9" style="126" customWidth="1"/>
    <col min="15123" max="15123" width="10.140625" style="126" customWidth="1"/>
    <col min="15124" max="15124" width="22.42578125" style="126" customWidth="1"/>
    <col min="15125" max="15125" width="21.28515625" style="126" customWidth="1"/>
    <col min="15126" max="15126" width="29.140625" style="126" bestFit="1" customWidth="1"/>
    <col min="15127" max="15127" width="9.28515625" style="126" bestFit="1" customWidth="1"/>
    <col min="15128" max="15360" width="8.85546875" style="126"/>
    <col min="15361" max="15361" width="5.140625" style="126" customWidth="1"/>
    <col min="15362" max="15362" width="30.140625" style="126" customWidth="1"/>
    <col min="15363" max="15363" width="12.140625" style="126" bestFit="1" customWidth="1"/>
    <col min="15364" max="15365" width="11" style="126" bestFit="1" customWidth="1"/>
    <col min="15366" max="15366" width="11.28515625" style="126" customWidth="1"/>
    <col min="15367" max="15367" width="10.7109375" style="126" customWidth="1"/>
    <col min="15368" max="15368" width="9.85546875" style="126" customWidth="1"/>
    <col min="15369" max="15370" width="11" style="126" customWidth="1"/>
    <col min="15371" max="15371" width="9.85546875" style="126" customWidth="1"/>
    <col min="15372" max="15374" width="11" style="126" customWidth="1"/>
    <col min="15375" max="15375" width="10.140625" style="126" customWidth="1"/>
    <col min="15376" max="15376" width="10.7109375" style="126" customWidth="1"/>
    <col min="15377" max="15377" width="11" style="126" customWidth="1"/>
    <col min="15378" max="15378" width="9" style="126" customWidth="1"/>
    <col min="15379" max="15379" width="10.140625" style="126" customWidth="1"/>
    <col min="15380" max="15380" width="22.42578125" style="126" customWidth="1"/>
    <col min="15381" max="15381" width="21.28515625" style="126" customWidth="1"/>
    <col min="15382" max="15382" width="29.140625" style="126" bestFit="1" customWidth="1"/>
    <col min="15383" max="15383" width="9.28515625" style="126" bestFit="1" customWidth="1"/>
    <col min="15384" max="15616" width="8.85546875" style="126"/>
    <col min="15617" max="15617" width="5.140625" style="126" customWidth="1"/>
    <col min="15618" max="15618" width="30.140625" style="126" customWidth="1"/>
    <col min="15619" max="15619" width="12.140625" style="126" bestFit="1" customWidth="1"/>
    <col min="15620" max="15621" width="11" style="126" bestFit="1" customWidth="1"/>
    <col min="15622" max="15622" width="11.28515625" style="126" customWidth="1"/>
    <col min="15623" max="15623" width="10.7109375" style="126" customWidth="1"/>
    <col min="15624" max="15624" width="9.85546875" style="126" customWidth="1"/>
    <col min="15625" max="15626" width="11" style="126" customWidth="1"/>
    <col min="15627" max="15627" width="9.85546875" style="126" customWidth="1"/>
    <col min="15628" max="15630" width="11" style="126" customWidth="1"/>
    <col min="15631" max="15631" width="10.140625" style="126" customWidth="1"/>
    <col min="15632" max="15632" width="10.7109375" style="126" customWidth="1"/>
    <col min="15633" max="15633" width="11" style="126" customWidth="1"/>
    <col min="15634" max="15634" width="9" style="126" customWidth="1"/>
    <col min="15635" max="15635" width="10.140625" style="126" customWidth="1"/>
    <col min="15636" max="15636" width="22.42578125" style="126" customWidth="1"/>
    <col min="15637" max="15637" width="21.28515625" style="126" customWidth="1"/>
    <col min="15638" max="15638" width="29.140625" style="126" bestFit="1" customWidth="1"/>
    <col min="15639" max="15639" width="9.28515625" style="126" bestFit="1" customWidth="1"/>
    <col min="15640" max="15872" width="8.85546875" style="126"/>
    <col min="15873" max="15873" width="5.140625" style="126" customWidth="1"/>
    <col min="15874" max="15874" width="30.140625" style="126" customWidth="1"/>
    <col min="15875" max="15875" width="12.140625" style="126" bestFit="1" customWidth="1"/>
    <col min="15876" max="15877" width="11" style="126" bestFit="1" customWidth="1"/>
    <col min="15878" max="15878" width="11.28515625" style="126" customWidth="1"/>
    <col min="15879" max="15879" width="10.7109375" style="126" customWidth="1"/>
    <col min="15880" max="15880" width="9.85546875" style="126" customWidth="1"/>
    <col min="15881" max="15882" width="11" style="126" customWidth="1"/>
    <col min="15883" max="15883" width="9.85546875" style="126" customWidth="1"/>
    <col min="15884" max="15886" width="11" style="126" customWidth="1"/>
    <col min="15887" max="15887" width="10.140625" style="126" customWidth="1"/>
    <col min="15888" max="15888" width="10.7109375" style="126" customWidth="1"/>
    <col min="15889" max="15889" width="11" style="126" customWidth="1"/>
    <col min="15890" max="15890" width="9" style="126" customWidth="1"/>
    <col min="15891" max="15891" width="10.140625" style="126" customWidth="1"/>
    <col min="15892" max="15892" width="22.42578125" style="126" customWidth="1"/>
    <col min="15893" max="15893" width="21.28515625" style="126" customWidth="1"/>
    <col min="15894" max="15894" width="29.140625" style="126" bestFit="1" customWidth="1"/>
    <col min="15895" max="15895" width="9.28515625" style="126" bestFit="1" customWidth="1"/>
    <col min="15896" max="16128" width="8.85546875" style="126"/>
    <col min="16129" max="16129" width="5.140625" style="126" customWidth="1"/>
    <col min="16130" max="16130" width="30.140625" style="126" customWidth="1"/>
    <col min="16131" max="16131" width="12.140625" style="126" bestFit="1" customWidth="1"/>
    <col min="16132" max="16133" width="11" style="126" bestFit="1" customWidth="1"/>
    <col min="16134" max="16134" width="11.28515625" style="126" customWidth="1"/>
    <col min="16135" max="16135" width="10.7109375" style="126" customWidth="1"/>
    <col min="16136" max="16136" width="9.85546875" style="126" customWidth="1"/>
    <col min="16137" max="16138" width="11" style="126" customWidth="1"/>
    <col min="16139" max="16139" width="9.85546875" style="126" customWidth="1"/>
    <col min="16140" max="16142" width="11" style="126" customWidth="1"/>
    <col min="16143" max="16143" width="10.140625" style="126" customWidth="1"/>
    <col min="16144" max="16144" width="10.7109375" style="126" customWidth="1"/>
    <col min="16145" max="16145" width="11" style="126" customWidth="1"/>
    <col min="16146" max="16146" width="9" style="126" customWidth="1"/>
    <col min="16147" max="16147" width="10.140625" style="126" customWidth="1"/>
    <col min="16148" max="16148" width="22.42578125" style="126" customWidth="1"/>
    <col min="16149" max="16149" width="21.28515625" style="126" customWidth="1"/>
    <col min="16150" max="16150" width="29.140625" style="126" bestFit="1" customWidth="1"/>
    <col min="16151" max="16151" width="9.28515625" style="126" bestFit="1" customWidth="1"/>
    <col min="16152" max="16384" width="8.85546875" style="126"/>
  </cols>
  <sheetData>
    <row r="1" spans="1:21">
      <c r="A1" s="407" t="s">
        <v>517</v>
      </c>
      <c r="B1" s="407"/>
      <c r="Q1" s="405" t="s">
        <v>12</v>
      </c>
      <c r="R1" s="405"/>
    </row>
    <row r="2" spans="1:21" ht="26.45" customHeight="1">
      <c r="A2" s="408" t="s">
        <v>404</v>
      </c>
      <c r="B2" s="408"/>
      <c r="C2" s="408"/>
      <c r="D2" s="408"/>
      <c r="E2" s="408"/>
      <c r="F2" s="408"/>
      <c r="G2" s="408"/>
      <c r="H2" s="408"/>
      <c r="I2" s="408"/>
      <c r="J2" s="408"/>
      <c r="K2" s="408"/>
      <c r="L2" s="408"/>
      <c r="M2" s="408"/>
      <c r="N2" s="408"/>
      <c r="O2" s="408"/>
      <c r="P2" s="408"/>
      <c r="Q2" s="408"/>
      <c r="R2" s="408"/>
    </row>
    <row r="3" spans="1:21">
      <c r="A3" s="409" t="str">
        <f>'59'!A5:T5</f>
        <v>(Kèm theo Nghị quyết số            /NQ-HĐND ngày     tháng     năm 2023 của Hội đồng nhân dân huyện)</v>
      </c>
      <c r="B3" s="409"/>
      <c r="C3" s="409"/>
      <c r="D3" s="409"/>
      <c r="E3" s="409"/>
      <c r="F3" s="409"/>
      <c r="G3" s="409"/>
      <c r="H3" s="409"/>
      <c r="I3" s="409"/>
      <c r="J3" s="409"/>
      <c r="K3" s="409"/>
      <c r="L3" s="409"/>
      <c r="M3" s="409"/>
      <c r="N3" s="409"/>
      <c r="O3" s="409"/>
      <c r="P3" s="409"/>
      <c r="Q3" s="409"/>
      <c r="R3" s="409"/>
    </row>
    <row r="4" spans="1:21">
      <c r="C4" s="127"/>
      <c r="F4" s="127"/>
      <c r="I4" s="127"/>
      <c r="J4" s="127"/>
      <c r="P4" s="380" t="s">
        <v>15</v>
      </c>
      <c r="Q4" s="380"/>
      <c r="R4" s="380"/>
    </row>
    <row r="5" spans="1:21" ht="38.450000000000003" customHeight="1">
      <c r="A5" s="406" t="s">
        <v>0</v>
      </c>
      <c r="B5" s="406" t="s">
        <v>16</v>
      </c>
      <c r="C5" s="406" t="s">
        <v>17</v>
      </c>
      <c r="D5" s="406"/>
      <c r="E5" s="406"/>
      <c r="F5" s="406" t="s">
        <v>18</v>
      </c>
      <c r="G5" s="406"/>
      <c r="H5" s="406"/>
      <c r="I5" s="406"/>
      <c r="J5" s="406"/>
      <c r="K5" s="406"/>
      <c r="L5" s="406"/>
      <c r="M5" s="406"/>
      <c r="N5" s="406"/>
      <c r="O5" s="406"/>
      <c r="P5" s="406" t="s">
        <v>69</v>
      </c>
      <c r="Q5" s="406"/>
      <c r="R5" s="406"/>
    </row>
    <row r="6" spans="1:21">
      <c r="A6" s="406"/>
      <c r="B6" s="406"/>
      <c r="C6" s="406" t="s">
        <v>226</v>
      </c>
      <c r="D6" s="406" t="s">
        <v>253</v>
      </c>
      <c r="E6" s="406"/>
      <c r="F6" s="406" t="s">
        <v>226</v>
      </c>
      <c r="G6" s="406" t="s">
        <v>253</v>
      </c>
      <c r="H6" s="406"/>
      <c r="I6" s="406" t="s">
        <v>335</v>
      </c>
      <c r="J6" s="406"/>
      <c r="K6" s="406"/>
      <c r="L6" s="406"/>
      <c r="M6" s="406"/>
      <c r="N6" s="406"/>
      <c r="O6" s="406"/>
      <c r="P6" s="406" t="s">
        <v>226</v>
      </c>
      <c r="Q6" s="406" t="s">
        <v>253</v>
      </c>
      <c r="R6" s="406"/>
    </row>
    <row r="7" spans="1:21">
      <c r="A7" s="406"/>
      <c r="B7" s="406"/>
      <c r="C7" s="406"/>
      <c r="D7" s="406" t="s">
        <v>336</v>
      </c>
      <c r="E7" s="406" t="s">
        <v>337</v>
      </c>
      <c r="F7" s="406"/>
      <c r="G7" s="406" t="s">
        <v>336</v>
      </c>
      <c r="H7" s="406" t="s">
        <v>337</v>
      </c>
      <c r="I7" s="406" t="s">
        <v>226</v>
      </c>
      <c r="J7" s="406" t="s">
        <v>45</v>
      </c>
      <c r="K7" s="406"/>
      <c r="L7" s="406"/>
      <c r="M7" s="406" t="s">
        <v>337</v>
      </c>
      <c r="N7" s="406"/>
      <c r="O7" s="406"/>
      <c r="P7" s="406"/>
      <c r="Q7" s="406" t="s">
        <v>45</v>
      </c>
      <c r="R7" s="406" t="s">
        <v>46</v>
      </c>
    </row>
    <row r="8" spans="1:21">
      <c r="A8" s="406"/>
      <c r="B8" s="406"/>
      <c r="C8" s="406"/>
      <c r="D8" s="406"/>
      <c r="E8" s="406"/>
      <c r="F8" s="406"/>
      <c r="G8" s="406"/>
      <c r="H8" s="406"/>
      <c r="I8" s="406"/>
      <c r="J8" s="406" t="s">
        <v>226</v>
      </c>
      <c r="K8" s="406" t="s">
        <v>338</v>
      </c>
      <c r="L8" s="406"/>
      <c r="M8" s="406" t="s">
        <v>226</v>
      </c>
      <c r="N8" s="406" t="s">
        <v>338</v>
      </c>
      <c r="O8" s="406"/>
      <c r="P8" s="406"/>
      <c r="Q8" s="406"/>
      <c r="R8" s="406"/>
    </row>
    <row r="9" spans="1:21" ht="40.5" customHeight="1">
      <c r="A9" s="406"/>
      <c r="B9" s="406"/>
      <c r="C9" s="406"/>
      <c r="D9" s="406"/>
      <c r="E9" s="406"/>
      <c r="F9" s="406"/>
      <c r="G9" s="406"/>
      <c r="H9" s="406"/>
      <c r="I9" s="406"/>
      <c r="J9" s="406"/>
      <c r="K9" s="324" t="s">
        <v>339</v>
      </c>
      <c r="L9" s="324" t="s">
        <v>340</v>
      </c>
      <c r="M9" s="406"/>
      <c r="N9" s="324" t="s">
        <v>339</v>
      </c>
      <c r="O9" s="324" t="s">
        <v>340</v>
      </c>
      <c r="P9" s="406"/>
      <c r="Q9" s="406"/>
      <c r="R9" s="406"/>
    </row>
    <row r="10" spans="1:21">
      <c r="A10" s="324" t="s">
        <v>22</v>
      </c>
      <c r="B10" s="324" t="s">
        <v>23</v>
      </c>
      <c r="C10" s="324">
        <v>1</v>
      </c>
      <c r="D10" s="324">
        <v>2</v>
      </c>
      <c r="E10" s="324">
        <v>3</v>
      </c>
      <c r="F10" s="324">
        <v>5</v>
      </c>
      <c r="G10" s="324">
        <v>6</v>
      </c>
      <c r="H10" s="324">
        <v>7</v>
      </c>
      <c r="I10" s="324">
        <v>8</v>
      </c>
      <c r="J10" s="324">
        <v>9</v>
      </c>
      <c r="K10" s="324">
        <v>10</v>
      </c>
      <c r="L10" s="324">
        <v>11</v>
      </c>
      <c r="M10" s="324">
        <v>12</v>
      </c>
      <c r="N10" s="324">
        <v>13</v>
      </c>
      <c r="O10" s="324">
        <v>14</v>
      </c>
      <c r="P10" s="324" t="s">
        <v>341</v>
      </c>
      <c r="Q10" s="324" t="s">
        <v>342</v>
      </c>
      <c r="R10" s="324" t="s">
        <v>343</v>
      </c>
    </row>
    <row r="11" spans="1:21" s="131" customFormat="1" ht="14.25">
      <c r="A11" s="324"/>
      <c r="B11" s="324" t="s">
        <v>266</v>
      </c>
      <c r="C11" s="129">
        <f>C12+C60+C95</f>
        <v>161714.02799999999</v>
      </c>
      <c r="D11" s="129">
        <f t="shared" ref="D11:O11" si="0">D12+D60+D95</f>
        <v>135249.02799999999</v>
      </c>
      <c r="E11" s="129">
        <f t="shared" si="0"/>
        <v>26465</v>
      </c>
      <c r="F11" s="129">
        <f t="shared" si="0"/>
        <v>78973.546455000003</v>
      </c>
      <c r="G11" s="129">
        <f t="shared" si="0"/>
        <v>66926.838497999997</v>
      </c>
      <c r="H11" s="129">
        <f t="shared" si="0"/>
        <v>12046.707956999999</v>
      </c>
      <c r="I11" s="129">
        <f t="shared" si="0"/>
        <v>78973.546455000003</v>
      </c>
      <c r="J11" s="129">
        <f t="shared" si="0"/>
        <v>66926.838497999997</v>
      </c>
      <c r="K11" s="129">
        <f t="shared" si="0"/>
        <v>66926.838497999997</v>
      </c>
      <c r="L11" s="129">
        <f t="shared" si="0"/>
        <v>0</v>
      </c>
      <c r="M11" s="129">
        <f t="shared" si="0"/>
        <v>12046.707956999999</v>
      </c>
      <c r="N11" s="129">
        <f t="shared" si="0"/>
        <v>12046.707956999999</v>
      </c>
      <c r="O11" s="129">
        <f t="shared" si="0"/>
        <v>0</v>
      </c>
      <c r="P11" s="345">
        <f>F11/C11*100</f>
        <v>48.835309732684415</v>
      </c>
      <c r="Q11" s="345">
        <f t="shared" ref="Q11:Q12" si="1">G11/D11*100</f>
        <v>49.484154886495745</v>
      </c>
      <c r="R11" s="345">
        <f>H11/E11*100</f>
        <v>45.519395265444921</v>
      </c>
      <c r="S11" s="130"/>
    </row>
    <row r="12" spans="1:21" s="131" customFormat="1" ht="42.75">
      <c r="A12" s="324" t="s">
        <v>22</v>
      </c>
      <c r="B12" s="236" t="s">
        <v>512</v>
      </c>
      <c r="C12" s="129">
        <f>C13+C26+C38+C40+C44+C47</f>
        <v>76374</v>
      </c>
      <c r="D12" s="129">
        <f t="shared" ref="D12:O12" si="2">D13+D26+D38+D40+D44+D47</f>
        <v>66409</v>
      </c>
      <c r="E12" s="129">
        <f t="shared" si="2"/>
        <v>9965</v>
      </c>
      <c r="F12" s="129">
        <f t="shared" si="2"/>
        <v>41496.589300000007</v>
      </c>
      <c r="G12" s="129">
        <f t="shared" si="2"/>
        <v>38043.737800000003</v>
      </c>
      <c r="H12" s="129">
        <f t="shared" si="2"/>
        <v>3452.8514999999998</v>
      </c>
      <c r="I12" s="129">
        <f t="shared" si="2"/>
        <v>41496.589300000007</v>
      </c>
      <c r="J12" s="129">
        <f t="shared" si="2"/>
        <v>38043.737800000003</v>
      </c>
      <c r="K12" s="129">
        <f t="shared" si="2"/>
        <v>38043.737800000003</v>
      </c>
      <c r="L12" s="129">
        <f t="shared" si="2"/>
        <v>0</v>
      </c>
      <c r="M12" s="129">
        <f t="shared" si="2"/>
        <v>3452.8514999999998</v>
      </c>
      <c r="N12" s="129">
        <f t="shared" si="2"/>
        <v>3452.8514999999998</v>
      </c>
      <c r="O12" s="129">
        <f t="shared" si="2"/>
        <v>0</v>
      </c>
      <c r="P12" s="345">
        <f>F12/C12*100</f>
        <v>54.333397884096691</v>
      </c>
      <c r="Q12" s="345">
        <f t="shared" si="1"/>
        <v>57.287021036305319</v>
      </c>
      <c r="R12" s="345">
        <f>H12/E12*100</f>
        <v>34.649789262418466</v>
      </c>
      <c r="S12" s="130"/>
      <c r="T12" s="132"/>
    </row>
    <row r="13" spans="1:21" s="131" customFormat="1" ht="14.25">
      <c r="A13" s="324" t="s">
        <v>3</v>
      </c>
      <c r="B13" s="128" t="s">
        <v>472</v>
      </c>
      <c r="C13" s="129">
        <f>SUM(C14:C25)</f>
        <v>68343</v>
      </c>
      <c r="D13" s="129">
        <f t="shared" ref="D13:O13" si="3">SUM(D14:D25)</f>
        <v>66409</v>
      </c>
      <c r="E13" s="129">
        <f t="shared" si="3"/>
        <v>1934</v>
      </c>
      <c r="F13" s="129">
        <f t="shared" si="3"/>
        <v>39952.471800000007</v>
      </c>
      <c r="G13" s="129">
        <f t="shared" si="3"/>
        <v>38043.737800000003</v>
      </c>
      <c r="H13" s="129">
        <f t="shared" si="3"/>
        <v>1908.7339999999999</v>
      </c>
      <c r="I13" s="129">
        <f t="shared" si="3"/>
        <v>39952.471800000007</v>
      </c>
      <c r="J13" s="129">
        <f t="shared" si="3"/>
        <v>38043.737800000003</v>
      </c>
      <c r="K13" s="129">
        <f t="shared" si="3"/>
        <v>38043.737800000003</v>
      </c>
      <c r="L13" s="129">
        <f t="shared" si="3"/>
        <v>0</v>
      </c>
      <c r="M13" s="129">
        <f t="shared" si="3"/>
        <v>1908.7339999999999</v>
      </c>
      <c r="N13" s="129">
        <f t="shared" si="3"/>
        <v>1908.7339999999999</v>
      </c>
      <c r="O13" s="129">
        <f t="shared" si="3"/>
        <v>0</v>
      </c>
      <c r="P13" s="345">
        <f t="shared" ref="P13:P76" si="4">F13/C13*100</f>
        <v>58.458762126333355</v>
      </c>
      <c r="Q13" s="345">
        <f t="shared" ref="Q13:Q72" si="5">G13/D13*100</f>
        <v>57.287021036305319</v>
      </c>
      <c r="R13" s="345">
        <f t="shared" ref="R13:R76" si="6">H13/E13*100</f>
        <v>98.69358841778697</v>
      </c>
      <c r="S13" s="130"/>
    </row>
    <row r="14" spans="1:21">
      <c r="A14" s="133">
        <v>1</v>
      </c>
      <c r="B14" s="134" t="s">
        <v>460</v>
      </c>
      <c r="C14" s="135">
        <f>D14+E14</f>
        <v>51877</v>
      </c>
      <c r="D14" s="135">
        <v>51877</v>
      </c>
      <c r="E14" s="135"/>
      <c r="F14" s="135">
        <f>G14+H14</f>
        <v>30853.566800000001</v>
      </c>
      <c r="G14" s="135">
        <f>J14</f>
        <v>30853.566800000001</v>
      </c>
      <c r="H14" s="135">
        <f>M14</f>
        <v>0</v>
      </c>
      <c r="I14" s="135">
        <f>J14+M14</f>
        <v>30853.566800000001</v>
      </c>
      <c r="J14" s="135">
        <f>K14+L14</f>
        <v>30853.566800000001</v>
      </c>
      <c r="K14" s="135">
        <v>30853.566800000001</v>
      </c>
      <c r="L14" s="135"/>
      <c r="M14" s="135">
        <f>N14+O14</f>
        <v>0</v>
      </c>
      <c r="N14" s="135"/>
      <c r="O14" s="135"/>
      <c r="P14" s="346">
        <f t="shared" si="4"/>
        <v>59.474462285791397</v>
      </c>
      <c r="Q14" s="346">
        <f t="shared" si="5"/>
        <v>59.474462285791397</v>
      </c>
      <c r="R14" s="346"/>
      <c r="S14" s="130"/>
      <c r="T14" s="136"/>
      <c r="U14" s="136"/>
    </row>
    <row r="15" spans="1:21">
      <c r="A15" s="133">
        <v>2</v>
      </c>
      <c r="B15" s="134" t="s">
        <v>448</v>
      </c>
      <c r="C15" s="135">
        <f t="shared" ref="C15:C84" si="7">D15+E15</f>
        <v>2730</v>
      </c>
      <c r="D15" s="135">
        <v>1730</v>
      </c>
      <c r="E15" s="135">
        <v>1000</v>
      </c>
      <c r="F15" s="135">
        <f t="shared" ref="F15:F84" si="8">G15+H15</f>
        <v>1299.8040000000001</v>
      </c>
      <c r="G15" s="135">
        <f t="shared" ref="G15:G25" si="9">J15</f>
        <v>300</v>
      </c>
      <c r="H15" s="135">
        <f t="shared" ref="H15:H25" si="10">M15</f>
        <v>999.80399999999997</v>
      </c>
      <c r="I15" s="135">
        <f t="shared" ref="I15:I72" si="11">J15+M15</f>
        <v>1299.8040000000001</v>
      </c>
      <c r="J15" s="135">
        <f t="shared" ref="J15:J71" si="12">K15+L15</f>
        <v>300</v>
      </c>
      <c r="K15" s="135">
        <v>300</v>
      </c>
      <c r="L15" s="135"/>
      <c r="M15" s="135">
        <f t="shared" ref="M15:M25" si="13">N15+O15</f>
        <v>999.80399999999997</v>
      </c>
      <c r="N15" s="135">
        <v>999.80399999999997</v>
      </c>
      <c r="O15" s="135"/>
      <c r="P15" s="346">
        <f t="shared" si="4"/>
        <v>47.611868131868135</v>
      </c>
      <c r="Q15" s="346">
        <f t="shared" si="5"/>
        <v>17.341040462427745</v>
      </c>
      <c r="R15" s="346">
        <f t="shared" si="6"/>
        <v>99.980400000000003</v>
      </c>
      <c r="S15" s="130"/>
      <c r="T15" s="136"/>
      <c r="U15" s="136"/>
    </row>
    <row r="16" spans="1:21">
      <c r="A16" s="133">
        <v>3</v>
      </c>
      <c r="B16" s="134" t="s">
        <v>470</v>
      </c>
      <c r="C16" s="135">
        <f t="shared" si="7"/>
        <v>1135</v>
      </c>
      <c r="D16" s="135">
        <v>1135</v>
      </c>
      <c r="E16" s="135"/>
      <c r="F16" s="135">
        <f t="shared" si="8"/>
        <v>460</v>
      </c>
      <c r="G16" s="135">
        <f t="shared" si="9"/>
        <v>460</v>
      </c>
      <c r="H16" s="135">
        <f t="shared" si="10"/>
        <v>0</v>
      </c>
      <c r="I16" s="135">
        <f t="shared" si="11"/>
        <v>460</v>
      </c>
      <c r="J16" s="135">
        <f t="shared" si="12"/>
        <v>460</v>
      </c>
      <c r="K16" s="135">
        <v>460</v>
      </c>
      <c r="L16" s="135"/>
      <c r="M16" s="135">
        <f t="shared" si="13"/>
        <v>0</v>
      </c>
      <c r="N16" s="135"/>
      <c r="O16" s="135"/>
      <c r="P16" s="346">
        <f t="shared" si="4"/>
        <v>40.528634361233479</v>
      </c>
      <c r="Q16" s="346">
        <f t="shared" si="5"/>
        <v>40.528634361233479</v>
      </c>
      <c r="R16" s="346"/>
      <c r="S16" s="130"/>
      <c r="T16" s="136"/>
      <c r="U16" s="136"/>
    </row>
    <row r="17" spans="1:21">
      <c r="A17" s="133">
        <v>4</v>
      </c>
      <c r="B17" s="134" t="s">
        <v>462</v>
      </c>
      <c r="C17" s="135">
        <f t="shared" si="7"/>
        <v>1100</v>
      </c>
      <c r="D17" s="135">
        <v>1100</v>
      </c>
      <c r="E17" s="135"/>
      <c r="F17" s="135">
        <f t="shared" si="8"/>
        <v>0</v>
      </c>
      <c r="G17" s="135">
        <f t="shared" si="9"/>
        <v>0</v>
      </c>
      <c r="H17" s="135">
        <f t="shared" si="10"/>
        <v>0</v>
      </c>
      <c r="I17" s="135">
        <f t="shared" si="11"/>
        <v>0</v>
      </c>
      <c r="J17" s="135">
        <f t="shared" si="12"/>
        <v>0</v>
      </c>
      <c r="K17" s="135">
        <v>0</v>
      </c>
      <c r="L17" s="135"/>
      <c r="M17" s="135">
        <f t="shared" si="13"/>
        <v>0</v>
      </c>
      <c r="N17" s="135"/>
      <c r="O17" s="135"/>
      <c r="P17" s="346">
        <f t="shared" si="4"/>
        <v>0</v>
      </c>
      <c r="Q17" s="346">
        <f t="shared" si="5"/>
        <v>0</v>
      </c>
      <c r="R17" s="346"/>
      <c r="S17" s="130"/>
      <c r="T17" s="136"/>
      <c r="U17" s="136"/>
    </row>
    <row r="18" spans="1:21">
      <c r="A18" s="133">
        <v>5</v>
      </c>
      <c r="B18" s="134" t="s">
        <v>461</v>
      </c>
      <c r="C18" s="135">
        <f t="shared" si="7"/>
        <v>2629</v>
      </c>
      <c r="D18" s="135">
        <v>1695</v>
      </c>
      <c r="E18" s="135">
        <v>934</v>
      </c>
      <c r="F18" s="135">
        <f t="shared" si="8"/>
        <v>2540.806</v>
      </c>
      <c r="G18" s="135">
        <f t="shared" si="9"/>
        <v>1631.876</v>
      </c>
      <c r="H18" s="135">
        <f t="shared" si="10"/>
        <v>908.93</v>
      </c>
      <c r="I18" s="135">
        <f t="shared" si="11"/>
        <v>2540.806</v>
      </c>
      <c r="J18" s="135">
        <f t="shared" si="12"/>
        <v>1631.876</v>
      </c>
      <c r="K18" s="135">
        <v>1631.876</v>
      </c>
      <c r="L18" s="135"/>
      <c r="M18" s="135">
        <f t="shared" si="13"/>
        <v>908.93</v>
      </c>
      <c r="N18" s="135">
        <v>908.93</v>
      </c>
      <c r="O18" s="135"/>
      <c r="P18" s="346">
        <f t="shared" si="4"/>
        <v>96.645340433624952</v>
      </c>
      <c r="Q18" s="346">
        <f t="shared" si="5"/>
        <v>96.275870206489671</v>
      </c>
      <c r="R18" s="346">
        <f t="shared" si="6"/>
        <v>97.315845824411127</v>
      </c>
      <c r="S18" s="130"/>
      <c r="T18" s="136"/>
      <c r="U18" s="136"/>
    </row>
    <row r="19" spans="1:21">
      <c r="A19" s="133">
        <v>6</v>
      </c>
      <c r="B19" s="134" t="s">
        <v>249</v>
      </c>
      <c r="C19" s="135">
        <f t="shared" si="7"/>
        <v>1072</v>
      </c>
      <c r="D19" s="135">
        <v>1072</v>
      </c>
      <c r="E19" s="135"/>
      <c r="F19" s="135">
        <f t="shared" si="8"/>
        <v>0</v>
      </c>
      <c r="G19" s="135">
        <f t="shared" si="9"/>
        <v>0</v>
      </c>
      <c r="H19" s="135">
        <f t="shared" si="10"/>
        <v>0</v>
      </c>
      <c r="I19" s="135">
        <f t="shared" si="11"/>
        <v>0</v>
      </c>
      <c r="J19" s="135">
        <f t="shared" si="12"/>
        <v>0</v>
      </c>
      <c r="K19" s="135">
        <v>0</v>
      </c>
      <c r="L19" s="135"/>
      <c r="M19" s="135">
        <f t="shared" si="13"/>
        <v>0</v>
      </c>
      <c r="N19" s="135"/>
      <c r="O19" s="135"/>
      <c r="P19" s="346">
        <f t="shared" si="4"/>
        <v>0</v>
      </c>
      <c r="Q19" s="346">
        <f t="shared" si="5"/>
        <v>0</v>
      </c>
      <c r="R19" s="346"/>
      <c r="S19" s="130"/>
      <c r="T19" s="136"/>
      <c r="U19" s="136"/>
    </row>
    <row r="20" spans="1:21">
      <c r="A20" s="133">
        <v>7</v>
      </c>
      <c r="B20" s="134" t="s">
        <v>246</v>
      </c>
      <c r="C20" s="135">
        <f t="shared" si="7"/>
        <v>1150</v>
      </c>
      <c r="D20" s="135">
        <v>1150</v>
      </c>
      <c r="E20" s="135"/>
      <c r="F20" s="135">
        <f t="shared" si="8"/>
        <v>1146.4549999999999</v>
      </c>
      <c r="G20" s="135">
        <f t="shared" si="9"/>
        <v>1146.4549999999999</v>
      </c>
      <c r="H20" s="135">
        <f t="shared" si="10"/>
        <v>0</v>
      </c>
      <c r="I20" s="135">
        <f t="shared" si="11"/>
        <v>1146.4549999999999</v>
      </c>
      <c r="J20" s="135">
        <f t="shared" si="12"/>
        <v>1146.4549999999999</v>
      </c>
      <c r="K20" s="135">
        <v>1146.4549999999999</v>
      </c>
      <c r="L20" s="135"/>
      <c r="M20" s="135">
        <f t="shared" si="13"/>
        <v>0</v>
      </c>
      <c r="N20" s="135"/>
      <c r="O20" s="135"/>
      <c r="P20" s="346">
        <f t="shared" si="4"/>
        <v>99.691739130434769</v>
      </c>
      <c r="Q20" s="346">
        <f t="shared" si="5"/>
        <v>99.691739130434769</v>
      </c>
      <c r="R20" s="346"/>
      <c r="S20" s="130"/>
      <c r="T20" s="136"/>
      <c r="U20" s="136"/>
    </row>
    <row r="21" spans="1:21">
      <c r="A21" s="133">
        <v>8</v>
      </c>
      <c r="B21" s="134" t="s">
        <v>252</v>
      </c>
      <c r="C21" s="135">
        <f t="shared" si="7"/>
        <v>1200</v>
      </c>
      <c r="D21" s="135">
        <v>1200</v>
      </c>
      <c r="E21" s="135"/>
      <c r="F21" s="135">
        <f t="shared" si="8"/>
        <v>0</v>
      </c>
      <c r="G21" s="135">
        <f t="shared" si="9"/>
        <v>0</v>
      </c>
      <c r="H21" s="135">
        <f t="shared" si="10"/>
        <v>0</v>
      </c>
      <c r="I21" s="135">
        <f t="shared" si="11"/>
        <v>0</v>
      </c>
      <c r="J21" s="135">
        <f t="shared" si="12"/>
        <v>0</v>
      </c>
      <c r="K21" s="135">
        <v>0</v>
      </c>
      <c r="L21" s="135"/>
      <c r="M21" s="135">
        <f t="shared" si="13"/>
        <v>0</v>
      </c>
      <c r="N21" s="135"/>
      <c r="O21" s="135"/>
      <c r="P21" s="346">
        <f t="shared" si="4"/>
        <v>0</v>
      </c>
      <c r="Q21" s="346">
        <f t="shared" si="5"/>
        <v>0</v>
      </c>
      <c r="R21" s="346"/>
      <c r="S21" s="130"/>
      <c r="T21" s="136"/>
      <c r="U21" s="136"/>
    </row>
    <row r="22" spans="1:21">
      <c r="A22" s="133">
        <v>9</v>
      </c>
      <c r="B22" s="134" t="s">
        <v>449</v>
      </c>
      <c r="C22" s="135">
        <f t="shared" si="7"/>
        <v>1150</v>
      </c>
      <c r="D22" s="135">
        <v>1150</v>
      </c>
      <c r="E22" s="135"/>
      <c r="F22" s="135">
        <f t="shared" si="8"/>
        <v>1114.9390000000001</v>
      </c>
      <c r="G22" s="135">
        <f t="shared" si="9"/>
        <v>1114.9390000000001</v>
      </c>
      <c r="H22" s="135">
        <f t="shared" si="10"/>
        <v>0</v>
      </c>
      <c r="I22" s="135">
        <f t="shared" si="11"/>
        <v>1114.9390000000001</v>
      </c>
      <c r="J22" s="135">
        <f t="shared" si="12"/>
        <v>1114.9390000000001</v>
      </c>
      <c r="K22" s="135">
        <v>1114.9390000000001</v>
      </c>
      <c r="L22" s="135"/>
      <c r="M22" s="135">
        <f t="shared" si="13"/>
        <v>0</v>
      </c>
      <c r="N22" s="135"/>
      <c r="O22" s="135"/>
      <c r="P22" s="346">
        <f t="shared" si="4"/>
        <v>96.951217391304354</v>
      </c>
      <c r="Q22" s="346">
        <f t="shared" si="5"/>
        <v>96.951217391304354</v>
      </c>
      <c r="R22" s="346"/>
      <c r="S22" s="130"/>
      <c r="T22" s="136"/>
      <c r="U22" s="136"/>
    </row>
    <row r="23" spans="1:21">
      <c r="A23" s="133">
        <v>10</v>
      </c>
      <c r="B23" s="134" t="s">
        <v>452</v>
      </c>
      <c r="C23" s="135">
        <f t="shared" si="7"/>
        <v>1600</v>
      </c>
      <c r="D23" s="135">
        <v>1600</v>
      </c>
      <c r="E23" s="135"/>
      <c r="F23" s="135">
        <f t="shared" si="8"/>
        <v>1595.5160000000001</v>
      </c>
      <c r="G23" s="135">
        <f t="shared" si="9"/>
        <v>1595.5160000000001</v>
      </c>
      <c r="H23" s="135">
        <f t="shared" si="10"/>
        <v>0</v>
      </c>
      <c r="I23" s="135">
        <f t="shared" si="11"/>
        <v>1595.5160000000001</v>
      </c>
      <c r="J23" s="135">
        <f t="shared" si="12"/>
        <v>1595.5160000000001</v>
      </c>
      <c r="K23" s="135">
        <v>1595.5160000000001</v>
      </c>
      <c r="L23" s="135"/>
      <c r="M23" s="135">
        <f t="shared" si="13"/>
        <v>0</v>
      </c>
      <c r="N23" s="135"/>
      <c r="O23" s="135"/>
      <c r="P23" s="346">
        <f t="shared" si="4"/>
        <v>99.719750000000005</v>
      </c>
      <c r="Q23" s="346">
        <f t="shared" si="5"/>
        <v>99.719750000000005</v>
      </c>
      <c r="R23" s="346"/>
      <c r="S23" s="130"/>
      <c r="T23" s="136"/>
      <c r="U23" s="136"/>
    </row>
    <row r="24" spans="1:21">
      <c r="A24" s="133">
        <v>11</v>
      </c>
      <c r="B24" s="134" t="s">
        <v>451</v>
      </c>
      <c r="C24" s="135">
        <f t="shared" si="7"/>
        <v>1600</v>
      </c>
      <c r="D24" s="135">
        <v>1600</v>
      </c>
      <c r="E24" s="135"/>
      <c r="F24" s="135">
        <f t="shared" si="8"/>
        <v>741.38499999999999</v>
      </c>
      <c r="G24" s="135">
        <f t="shared" si="9"/>
        <v>741.38499999999999</v>
      </c>
      <c r="H24" s="135">
        <f t="shared" si="10"/>
        <v>0</v>
      </c>
      <c r="I24" s="135">
        <f t="shared" si="11"/>
        <v>741.38499999999999</v>
      </c>
      <c r="J24" s="135">
        <f t="shared" si="12"/>
        <v>741.38499999999999</v>
      </c>
      <c r="K24" s="135">
        <v>741.38499999999999</v>
      </c>
      <c r="L24" s="135"/>
      <c r="M24" s="135">
        <f t="shared" si="13"/>
        <v>0</v>
      </c>
      <c r="N24" s="135"/>
      <c r="O24" s="135"/>
      <c r="P24" s="346">
        <f t="shared" si="4"/>
        <v>46.336562499999999</v>
      </c>
      <c r="Q24" s="346">
        <f t="shared" si="5"/>
        <v>46.336562499999999</v>
      </c>
      <c r="R24" s="346"/>
      <c r="S24" s="130"/>
      <c r="T24" s="136"/>
      <c r="U24" s="136"/>
    </row>
    <row r="25" spans="1:21">
      <c r="A25" s="133">
        <v>12</v>
      </c>
      <c r="B25" s="134" t="s">
        <v>250</v>
      </c>
      <c r="C25" s="135">
        <f t="shared" si="7"/>
        <v>1100</v>
      </c>
      <c r="D25" s="135">
        <v>1100</v>
      </c>
      <c r="E25" s="135"/>
      <c r="F25" s="135">
        <f t="shared" si="8"/>
        <v>200</v>
      </c>
      <c r="G25" s="135">
        <f t="shared" si="9"/>
        <v>200</v>
      </c>
      <c r="H25" s="135">
        <f t="shared" si="10"/>
        <v>0</v>
      </c>
      <c r="I25" s="135">
        <f t="shared" si="11"/>
        <v>200</v>
      </c>
      <c r="J25" s="135">
        <f t="shared" si="12"/>
        <v>200</v>
      </c>
      <c r="K25" s="135">
        <v>200</v>
      </c>
      <c r="L25" s="135"/>
      <c r="M25" s="135">
        <f t="shared" si="13"/>
        <v>0</v>
      </c>
      <c r="N25" s="135"/>
      <c r="O25" s="135"/>
      <c r="P25" s="346">
        <f t="shared" si="4"/>
        <v>18.181818181818183</v>
      </c>
      <c r="Q25" s="346">
        <f t="shared" si="5"/>
        <v>18.181818181818183</v>
      </c>
      <c r="R25" s="346"/>
      <c r="S25" s="130"/>
      <c r="T25" s="136"/>
      <c r="U25" s="136"/>
    </row>
    <row r="26" spans="1:21" s="131" customFormat="1" ht="42.75">
      <c r="A26" s="233" t="s">
        <v>31</v>
      </c>
      <c r="B26" s="234" t="s">
        <v>474</v>
      </c>
      <c r="C26" s="129">
        <f>SUM(C27:C37)</f>
        <v>3947</v>
      </c>
      <c r="D26" s="129">
        <f t="shared" ref="D26:O26" si="14">SUM(D27:D37)</f>
        <v>0</v>
      </c>
      <c r="E26" s="129">
        <f t="shared" si="14"/>
        <v>3947</v>
      </c>
      <c r="F26" s="129">
        <f t="shared" si="14"/>
        <v>440.82850000000002</v>
      </c>
      <c r="G26" s="129">
        <f t="shared" si="14"/>
        <v>0</v>
      </c>
      <c r="H26" s="129">
        <f t="shared" si="14"/>
        <v>440.82850000000002</v>
      </c>
      <c r="I26" s="129">
        <f t="shared" si="14"/>
        <v>440.82850000000002</v>
      </c>
      <c r="J26" s="129">
        <f t="shared" si="14"/>
        <v>0</v>
      </c>
      <c r="K26" s="129">
        <f t="shared" si="14"/>
        <v>0</v>
      </c>
      <c r="L26" s="129">
        <f t="shared" si="14"/>
        <v>0</v>
      </c>
      <c r="M26" s="129">
        <f t="shared" si="14"/>
        <v>440.82850000000002</v>
      </c>
      <c r="N26" s="129">
        <f t="shared" si="14"/>
        <v>440.82850000000002</v>
      </c>
      <c r="O26" s="129">
        <f t="shared" si="14"/>
        <v>0</v>
      </c>
      <c r="P26" s="346">
        <f t="shared" si="4"/>
        <v>11.168697745122879</v>
      </c>
      <c r="Q26" s="346"/>
      <c r="R26" s="346">
        <f t="shared" si="6"/>
        <v>11.168697745122879</v>
      </c>
      <c r="S26" s="130"/>
      <c r="T26" s="132"/>
      <c r="U26" s="132"/>
    </row>
    <row r="27" spans="1:21">
      <c r="A27" s="133">
        <v>1</v>
      </c>
      <c r="B27" s="134" t="s">
        <v>249</v>
      </c>
      <c r="C27" s="135">
        <f t="shared" si="7"/>
        <v>349</v>
      </c>
      <c r="D27" s="135"/>
      <c r="E27" s="135">
        <v>349</v>
      </c>
      <c r="F27" s="135">
        <f>G27+H27</f>
        <v>0</v>
      </c>
      <c r="G27" s="135">
        <f>I27</f>
        <v>0</v>
      </c>
      <c r="H27" s="135">
        <f>M27</f>
        <v>0</v>
      </c>
      <c r="I27" s="135">
        <f t="shared" si="11"/>
        <v>0</v>
      </c>
      <c r="J27" s="135">
        <f t="shared" si="12"/>
        <v>0</v>
      </c>
      <c r="K27" s="135"/>
      <c r="L27" s="135"/>
      <c r="M27" s="135">
        <f>N27+O27</f>
        <v>0</v>
      </c>
      <c r="N27" s="135"/>
      <c r="O27" s="135"/>
      <c r="P27" s="346">
        <f t="shared" si="4"/>
        <v>0</v>
      </c>
      <c r="Q27" s="346"/>
      <c r="R27" s="346">
        <f t="shared" si="6"/>
        <v>0</v>
      </c>
      <c r="S27" s="130"/>
      <c r="T27" s="136"/>
      <c r="U27" s="136"/>
    </row>
    <row r="28" spans="1:21">
      <c r="A28" s="133">
        <v>2</v>
      </c>
      <c r="B28" s="134" t="s">
        <v>248</v>
      </c>
      <c r="C28" s="135">
        <f t="shared" si="7"/>
        <v>363</v>
      </c>
      <c r="D28" s="135"/>
      <c r="E28" s="135">
        <v>363</v>
      </c>
      <c r="F28" s="135">
        <f t="shared" si="8"/>
        <v>147.80000000000001</v>
      </c>
      <c r="G28" s="135">
        <f>J28</f>
        <v>0</v>
      </c>
      <c r="H28" s="135">
        <f t="shared" ref="H28:H37" si="15">M28</f>
        <v>147.80000000000001</v>
      </c>
      <c r="I28" s="135">
        <f t="shared" si="11"/>
        <v>147.80000000000001</v>
      </c>
      <c r="J28" s="135">
        <f t="shared" si="12"/>
        <v>0</v>
      </c>
      <c r="K28" s="135"/>
      <c r="L28" s="135"/>
      <c r="M28" s="135">
        <f t="shared" ref="M28:M37" si="16">N28+O28</f>
        <v>147.80000000000001</v>
      </c>
      <c r="N28" s="135">
        <v>147.80000000000001</v>
      </c>
      <c r="O28" s="135"/>
      <c r="P28" s="346">
        <f t="shared" si="4"/>
        <v>40.71625344352617</v>
      </c>
      <c r="Q28" s="346"/>
      <c r="R28" s="346">
        <f t="shared" si="6"/>
        <v>40.71625344352617</v>
      </c>
      <c r="S28" s="130"/>
      <c r="T28" s="136"/>
      <c r="U28" s="136"/>
    </row>
    <row r="29" spans="1:21">
      <c r="A29" s="133">
        <v>3</v>
      </c>
      <c r="B29" s="134" t="s">
        <v>250</v>
      </c>
      <c r="C29" s="135">
        <f t="shared" si="7"/>
        <v>349</v>
      </c>
      <c r="D29" s="135"/>
      <c r="E29" s="135">
        <v>349</v>
      </c>
      <c r="F29" s="135">
        <f t="shared" si="8"/>
        <v>148.02850000000001</v>
      </c>
      <c r="G29" s="135">
        <f t="shared" ref="G29:G30" si="17">J29</f>
        <v>0</v>
      </c>
      <c r="H29" s="135">
        <f t="shared" si="15"/>
        <v>148.02850000000001</v>
      </c>
      <c r="I29" s="135">
        <f t="shared" si="11"/>
        <v>148.02850000000001</v>
      </c>
      <c r="J29" s="135">
        <f t="shared" si="12"/>
        <v>0</v>
      </c>
      <c r="K29" s="135"/>
      <c r="L29" s="135"/>
      <c r="M29" s="135">
        <f t="shared" si="16"/>
        <v>148.02850000000001</v>
      </c>
      <c r="N29" s="135">
        <v>148.02850000000001</v>
      </c>
      <c r="O29" s="135"/>
      <c r="P29" s="346">
        <f t="shared" si="4"/>
        <v>42.415042979942697</v>
      </c>
      <c r="Q29" s="346"/>
      <c r="R29" s="346">
        <f t="shared" si="6"/>
        <v>42.415042979942697</v>
      </c>
      <c r="S29" s="130"/>
      <c r="T29" s="136"/>
      <c r="U29" s="136"/>
    </row>
    <row r="30" spans="1:21">
      <c r="A30" s="133">
        <v>4</v>
      </c>
      <c r="B30" s="134" t="s">
        <v>462</v>
      </c>
      <c r="C30" s="135">
        <f t="shared" si="7"/>
        <v>348</v>
      </c>
      <c r="D30" s="135"/>
      <c r="E30" s="135">
        <v>348</v>
      </c>
      <c r="F30" s="135">
        <f t="shared" si="8"/>
        <v>145</v>
      </c>
      <c r="G30" s="135">
        <f t="shared" si="17"/>
        <v>0</v>
      </c>
      <c r="H30" s="135">
        <f t="shared" si="15"/>
        <v>145</v>
      </c>
      <c r="I30" s="135">
        <f t="shared" si="11"/>
        <v>145</v>
      </c>
      <c r="J30" s="135">
        <f t="shared" si="12"/>
        <v>0</v>
      </c>
      <c r="K30" s="135"/>
      <c r="L30" s="135"/>
      <c r="M30" s="135">
        <f t="shared" si="16"/>
        <v>145</v>
      </c>
      <c r="N30" s="135">
        <v>145</v>
      </c>
      <c r="O30" s="135"/>
      <c r="P30" s="346">
        <f t="shared" si="4"/>
        <v>41.666666666666671</v>
      </c>
      <c r="Q30" s="346"/>
      <c r="R30" s="346">
        <f t="shared" si="6"/>
        <v>41.666666666666671</v>
      </c>
      <c r="S30" s="130"/>
      <c r="T30" s="136"/>
      <c r="U30" s="136"/>
    </row>
    <row r="31" spans="1:21">
      <c r="A31" s="133">
        <v>5</v>
      </c>
      <c r="B31" s="134" t="s">
        <v>452</v>
      </c>
      <c r="C31" s="135">
        <f t="shared" si="7"/>
        <v>364</v>
      </c>
      <c r="D31" s="135"/>
      <c r="E31" s="135">
        <v>364</v>
      </c>
      <c r="F31" s="135">
        <f t="shared" si="8"/>
        <v>0</v>
      </c>
      <c r="G31" s="135">
        <f t="shared" ref="G31:G37" si="18">I31</f>
        <v>0</v>
      </c>
      <c r="H31" s="135">
        <f t="shared" si="15"/>
        <v>0</v>
      </c>
      <c r="I31" s="135">
        <f t="shared" si="11"/>
        <v>0</v>
      </c>
      <c r="J31" s="135">
        <f t="shared" si="12"/>
        <v>0</v>
      </c>
      <c r="K31" s="135"/>
      <c r="L31" s="135"/>
      <c r="M31" s="135">
        <f t="shared" si="16"/>
        <v>0</v>
      </c>
      <c r="N31" s="135"/>
      <c r="O31" s="135"/>
      <c r="P31" s="346">
        <f t="shared" si="4"/>
        <v>0</v>
      </c>
      <c r="Q31" s="346"/>
      <c r="R31" s="346">
        <f t="shared" si="6"/>
        <v>0</v>
      </c>
      <c r="S31" s="130"/>
      <c r="T31" s="136"/>
      <c r="U31" s="136"/>
    </row>
    <row r="32" spans="1:21">
      <c r="A32" s="133">
        <v>6</v>
      </c>
      <c r="B32" s="134" t="s">
        <v>252</v>
      </c>
      <c r="C32" s="135">
        <f t="shared" si="7"/>
        <v>348</v>
      </c>
      <c r="D32" s="135"/>
      <c r="E32" s="135">
        <v>348</v>
      </c>
      <c r="F32" s="135">
        <f t="shared" si="8"/>
        <v>0</v>
      </c>
      <c r="G32" s="135">
        <f t="shared" si="18"/>
        <v>0</v>
      </c>
      <c r="H32" s="135">
        <f t="shared" si="15"/>
        <v>0</v>
      </c>
      <c r="I32" s="135">
        <f t="shared" si="11"/>
        <v>0</v>
      </c>
      <c r="J32" s="135">
        <f t="shared" si="12"/>
        <v>0</v>
      </c>
      <c r="K32" s="135"/>
      <c r="L32" s="135"/>
      <c r="M32" s="135">
        <f t="shared" si="16"/>
        <v>0</v>
      </c>
      <c r="N32" s="135"/>
      <c r="O32" s="135"/>
      <c r="P32" s="346">
        <f t="shared" si="4"/>
        <v>0</v>
      </c>
      <c r="Q32" s="346"/>
      <c r="R32" s="346">
        <f t="shared" si="6"/>
        <v>0</v>
      </c>
      <c r="S32" s="130"/>
      <c r="T32" s="136"/>
      <c r="U32" s="136"/>
    </row>
    <row r="33" spans="1:21">
      <c r="A33" s="133">
        <v>7</v>
      </c>
      <c r="B33" s="134" t="s">
        <v>451</v>
      </c>
      <c r="C33" s="135">
        <f t="shared" si="7"/>
        <v>364</v>
      </c>
      <c r="D33" s="135"/>
      <c r="E33" s="135">
        <v>364</v>
      </c>
      <c r="F33" s="135">
        <f t="shared" si="8"/>
        <v>0</v>
      </c>
      <c r="G33" s="135">
        <f t="shared" si="18"/>
        <v>0</v>
      </c>
      <c r="H33" s="135">
        <f t="shared" si="15"/>
        <v>0</v>
      </c>
      <c r="I33" s="135">
        <f t="shared" si="11"/>
        <v>0</v>
      </c>
      <c r="J33" s="135">
        <f t="shared" si="12"/>
        <v>0</v>
      </c>
      <c r="K33" s="135"/>
      <c r="L33" s="135"/>
      <c r="M33" s="135">
        <f t="shared" si="16"/>
        <v>0</v>
      </c>
      <c r="N33" s="135"/>
      <c r="O33" s="135"/>
      <c r="P33" s="346">
        <f t="shared" si="4"/>
        <v>0</v>
      </c>
      <c r="Q33" s="346"/>
      <c r="R33" s="346">
        <f t="shared" si="6"/>
        <v>0</v>
      </c>
      <c r="S33" s="130"/>
      <c r="T33" s="136"/>
      <c r="U33" s="136"/>
    </row>
    <row r="34" spans="1:21">
      <c r="A34" s="133">
        <v>8</v>
      </c>
      <c r="B34" s="134" t="s">
        <v>514</v>
      </c>
      <c r="C34" s="135">
        <f t="shared" si="7"/>
        <v>403</v>
      </c>
      <c r="D34" s="135"/>
      <c r="E34" s="135">
        <v>403</v>
      </c>
      <c r="F34" s="135">
        <f t="shared" si="8"/>
        <v>0</v>
      </c>
      <c r="G34" s="135">
        <f t="shared" si="18"/>
        <v>0</v>
      </c>
      <c r="H34" s="135">
        <f t="shared" si="15"/>
        <v>0</v>
      </c>
      <c r="I34" s="135">
        <f t="shared" si="11"/>
        <v>0</v>
      </c>
      <c r="J34" s="135">
        <f t="shared" si="12"/>
        <v>0</v>
      </c>
      <c r="K34" s="135"/>
      <c r="L34" s="135"/>
      <c r="M34" s="135">
        <f t="shared" si="16"/>
        <v>0</v>
      </c>
      <c r="N34" s="135"/>
      <c r="O34" s="135"/>
      <c r="P34" s="346">
        <f t="shared" si="4"/>
        <v>0</v>
      </c>
      <c r="Q34" s="346"/>
      <c r="R34" s="346">
        <f t="shared" si="6"/>
        <v>0</v>
      </c>
      <c r="S34" s="130"/>
      <c r="T34" s="136"/>
      <c r="U34" s="136"/>
    </row>
    <row r="35" spans="1:21">
      <c r="A35" s="133">
        <v>9</v>
      </c>
      <c r="B35" s="134" t="s">
        <v>245</v>
      </c>
      <c r="C35" s="135">
        <f t="shared" si="7"/>
        <v>363</v>
      </c>
      <c r="D35" s="135"/>
      <c r="E35" s="135">
        <v>363</v>
      </c>
      <c r="F35" s="135">
        <f t="shared" si="8"/>
        <v>0</v>
      </c>
      <c r="G35" s="135">
        <f t="shared" si="18"/>
        <v>0</v>
      </c>
      <c r="H35" s="135">
        <f t="shared" si="15"/>
        <v>0</v>
      </c>
      <c r="I35" s="135">
        <f t="shared" si="11"/>
        <v>0</v>
      </c>
      <c r="J35" s="135">
        <f t="shared" si="12"/>
        <v>0</v>
      </c>
      <c r="K35" s="135"/>
      <c r="L35" s="135"/>
      <c r="M35" s="135">
        <f t="shared" si="16"/>
        <v>0</v>
      </c>
      <c r="N35" s="135"/>
      <c r="O35" s="135"/>
      <c r="P35" s="346">
        <f t="shared" si="4"/>
        <v>0</v>
      </c>
      <c r="Q35" s="346"/>
      <c r="R35" s="346">
        <f t="shared" si="6"/>
        <v>0</v>
      </c>
      <c r="S35" s="130"/>
      <c r="T35" s="136"/>
      <c r="U35" s="136"/>
    </row>
    <row r="36" spans="1:21">
      <c r="A36" s="133">
        <v>10</v>
      </c>
      <c r="B36" s="134" t="s">
        <v>471</v>
      </c>
      <c r="C36" s="135">
        <f t="shared" si="7"/>
        <v>348</v>
      </c>
      <c r="D36" s="135"/>
      <c r="E36" s="135">
        <v>348</v>
      </c>
      <c r="F36" s="135">
        <f t="shared" si="8"/>
        <v>0</v>
      </c>
      <c r="G36" s="135">
        <f t="shared" si="18"/>
        <v>0</v>
      </c>
      <c r="H36" s="135">
        <f t="shared" si="15"/>
        <v>0</v>
      </c>
      <c r="I36" s="135">
        <f t="shared" si="11"/>
        <v>0</v>
      </c>
      <c r="J36" s="135">
        <f t="shared" si="12"/>
        <v>0</v>
      </c>
      <c r="K36" s="135"/>
      <c r="L36" s="135"/>
      <c r="M36" s="135">
        <f t="shared" si="16"/>
        <v>0</v>
      </c>
      <c r="N36" s="135"/>
      <c r="O36" s="135"/>
      <c r="P36" s="346">
        <f t="shared" si="4"/>
        <v>0</v>
      </c>
      <c r="Q36" s="346"/>
      <c r="R36" s="346">
        <f t="shared" si="6"/>
        <v>0</v>
      </c>
      <c r="S36" s="130"/>
      <c r="T36" s="136"/>
      <c r="U36" s="136"/>
    </row>
    <row r="37" spans="1:21">
      <c r="A37" s="133">
        <v>11</v>
      </c>
      <c r="B37" s="134" t="s">
        <v>247</v>
      </c>
      <c r="C37" s="135">
        <f t="shared" si="7"/>
        <v>348</v>
      </c>
      <c r="D37" s="135"/>
      <c r="E37" s="135">
        <v>348</v>
      </c>
      <c r="F37" s="135">
        <f t="shared" si="8"/>
        <v>0</v>
      </c>
      <c r="G37" s="135">
        <f t="shared" si="18"/>
        <v>0</v>
      </c>
      <c r="H37" s="135">
        <f t="shared" si="15"/>
        <v>0</v>
      </c>
      <c r="I37" s="135">
        <f t="shared" si="11"/>
        <v>0</v>
      </c>
      <c r="J37" s="135">
        <f t="shared" si="12"/>
        <v>0</v>
      </c>
      <c r="K37" s="135"/>
      <c r="L37" s="135"/>
      <c r="M37" s="135">
        <f t="shared" si="16"/>
        <v>0</v>
      </c>
      <c r="N37" s="135"/>
      <c r="O37" s="135"/>
      <c r="P37" s="346">
        <f t="shared" si="4"/>
        <v>0</v>
      </c>
      <c r="Q37" s="346"/>
      <c r="R37" s="346">
        <f t="shared" si="6"/>
        <v>0</v>
      </c>
      <c r="S37" s="130"/>
      <c r="T37" s="136"/>
      <c r="U37" s="136"/>
    </row>
    <row r="38" spans="1:21" s="131" customFormat="1" ht="42.75">
      <c r="A38" s="233" t="s">
        <v>35</v>
      </c>
      <c r="B38" s="234" t="s">
        <v>475</v>
      </c>
      <c r="C38" s="129">
        <f>C39</f>
        <v>1389</v>
      </c>
      <c r="D38" s="129">
        <f t="shared" ref="D38:O38" si="19">D39</f>
        <v>0</v>
      </c>
      <c r="E38" s="129">
        <f t="shared" si="19"/>
        <v>1389</v>
      </c>
      <c r="F38" s="129">
        <f t="shared" si="19"/>
        <v>0</v>
      </c>
      <c r="G38" s="129">
        <f t="shared" si="19"/>
        <v>0</v>
      </c>
      <c r="H38" s="129">
        <f t="shared" si="19"/>
        <v>0</v>
      </c>
      <c r="I38" s="129">
        <f t="shared" si="19"/>
        <v>0</v>
      </c>
      <c r="J38" s="129">
        <f t="shared" si="19"/>
        <v>0</v>
      </c>
      <c r="K38" s="129">
        <f t="shared" si="19"/>
        <v>0</v>
      </c>
      <c r="L38" s="129">
        <f t="shared" si="19"/>
        <v>0</v>
      </c>
      <c r="M38" s="129">
        <f t="shared" si="19"/>
        <v>0</v>
      </c>
      <c r="N38" s="129">
        <f t="shared" si="19"/>
        <v>0</v>
      </c>
      <c r="O38" s="129">
        <f t="shared" si="19"/>
        <v>0</v>
      </c>
      <c r="P38" s="346">
        <f t="shared" si="4"/>
        <v>0</v>
      </c>
      <c r="Q38" s="346"/>
      <c r="R38" s="346">
        <f t="shared" si="6"/>
        <v>0</v>
      </c>
      <c r="S38" s="130"/>
      <c r="T38" s="132"/>
      <c r="U38" s="132"/>
    </row>
    <row r="39" spans="1:21" ht="30">
      <c r="A39" s="133" t="s">
        <v>28</v>
      </c>
      <c r="B39" s="134" t="s">
        <v>476</v>
      </c>
      <c r="C39" s="135">
        <f t="shared" si="7"/>
        <v>1389</v>
      </c>
      <c r="D39" s="135"/>
      <c r="E39" s="135">
        <v>1389</v>
      </c>
      <c r="F39" s="135">
        <f t="shared" si="8"/>
        <v>0</v>
      </c>
      <c r="G39" s="135">
        <f>I39</f>
        <v>0</v>
      </c>
      <c r="H39" s="135">
        <f>M39</f>
        <v>0</v>
      </c>
      <c r="I39" s="135">
        <f t="shared" si="11"/>
        <v>0</v>
      </c>
      <c r="J39" s="135">
        <f t="shared" si="12"/>
        <v>0</v>
      </c>
      <c r="K39" s="135"/>
      <c r="L39" s="135"/>
      <c r="M39" s="135"/>
      <c r="N39" s="135"/>
      <c r="O39" s="135"/>
      <c r="P39" s="346">
        <f t="shared" si="4"/>
        <v>0</v>
      </c>
      <c r="Q39" s="346"/>
      <c r="R39" s="346">
        <f t="shared" si="6"/>
        <v>0</v>
      </c>
      <c r="S39" s="130"/>
      <c r="T39" s="136"/>
      <c r="U39" s="136"/>
    </row>
    <row r="40" spans="1:21" s="131" customFormat="1" ht="42.75">
      <c r="A40" s="233" t="s">
        <v>37</v>
      </c>
      <c r="B40" s="234" t="s">
        <v>477</v>
      </c>
      <c r="C40" s="129">
        <f>SUM(C41:C43)</f>
        <v>2141</v>
      </c>
      <c r="D40" s="129">
        <f t="shared" ref="D40:O40" si="20">SUM(D41:D43)</f>
        <v>0</v>
      </c>
      <c r="E40" s="129">
        <f t="shared" si="20"/>
        <v>2141</v>
      </c>
      <c r="F40" s="129">
        <f t="shared" si="20"/>
        <v>696.25</v>
      </c>
      <c r="G40" s="129">
        <f t="shared" si="20"/>
        <v>0</v>
      </c>
      <c r="H40" s="129">
        <f t="shared" si="20"/>
        <v>696.25</v>
      </c>
      <c r="I40" s="129">
        <f t="shared" si="20"/>
        <v>696.25</v>
      </c>
      <c r="J40" s="129">
        <f t="shared" si="20"/>
        <v>0</v>
      </c>
      <c r="K40" s="129">
        <f t="shared" si="20"/>
        <v>0</v>
      </c>
      <c r="L40" s="129">
        <f t="shared" si="20"/>
        <v>0</v>
      </c>
      <c r="M40" s="129">
        <f t="shared" si="20"/>
        <v>696.25</v>
      </c>
      <c r="N40" s="129">
        <f t="shared" si="20"/>
        <v>696.25</v>
      </c>
      <c r="O40" s="129">
        <f t="shared" si="20"/>
        <v>0</v>
      </c>
      <c r="P40" s="346">
        <f t="shared" si="4"/>
        <v>32.519850537132186</v>
      </c>
      <c r="Q40" s="346"/>
      <c r="R40" s="346">
        <f t="shared" si="6"/>
        <v>32.519850537132186</v>
      </c>
      <c r="S40" s="130"/>
      <c r="T40" s="132"/>
      <c r="U40" s="132"/>
    </row>
    <row r="41" spans="1:21" ht="13.5" customHeight="1">
      <c r="A41" s="133">
        <v>1</v>
      </c>
      <c r="B41" s="134" t="s">
        <v>478</v>
      </c>
      <c r="C41" s="135">
        <f t="shared" si="7"/>
        <v>1697</v>
      </c>
      <c r="D41" s="135"/>
      <c r="E41" s="135">
        <v>1697</v>
      </c>
      <c r="F41" s="135">
        <f t="shared" si="8"/>
        <v>691.25</v>
      </c>
      <c r="G41" s="135">
        <f>J41</f>
        <v>0</v>
      </c>
      <c r="H41" s="135">
        <f>M41</f>
        <v>691.25</v>
      </c>
      <c r="I41" s="135">
        <f t="shared" si="11"/>
        <v>691.25</v>
      </c>
      <c r="J41" s="135">
        <f t="shared" si="12"/>
        <v>0</v>
      </c>
      <c r="K41" s="135"/>
      <c r="L41" s="135"/>
      <c r="M41" s="135">
        <f>N41+O41</f>
        <v>691.25</v>
      </c>
      <c r="N41" s="135">
        <v>691.25</v>
      </c>
      <c r="O41" s="135"/>
      <c r="P41" s="346">
        <f t="shared" si="4"/>
        <v>40.733647613435473</v>
      </c>
      <c r="Q41" s="346"/>
      <c r="R41" s="346">
        <f t="shared" si="6"/>
        <v>40.733647613435473</v>
      </c>
      <c r="S41" s="130"/>
      <c r="T41" s="136"/>
      <c r="U41" s="136"/>
    </row>
    <row r="42" spans="1:21" ht="29.45" customHeight="1">
      <c r="A42" s="133">
        <v>2</v>
      </c>
      <c r="B42" s="134" t="s">
        <v>479</v>
      </c>
      <c r="C42" s="135">
        <f t="shared" si="7"/>
        <v>259</v>
      </c>
      <c r="D42" s="135"/>
      <c r="E42" s="135">
        <v>259</v>
      </c>
      <c r="F42" s="135">
        <f t="shared" si="8"/>
        <v>0</v>
      </c>
      <c r="G42" s="135">
        <f>J42</f>
        <v>0</v>
      </c>
      <c r="H42" s="135">
        <f t="shared" ref="H42:H43" si="21">M42</f>
        <v>0</v>
      </c>
      <c r="I42" s="135">
        <f t="shared" si="11"/>
        <v>0</v>
      </c>
      <c r="J42" s="135">
        <f t="shared" si="12"/>
        <v>0</v>
      </c>
      <c r="K42" s="135"/>
      <c r="L42" s="135"/>
      <c r="M42" s="135">
        <f t="shared" ref="M42:M43" si="22">N42+O42</f>
        <v>0</v>
      </c>
      <c r="N42" s="135"/>
      <c r="O42" s="135"/>
      <c r="P42" s="346">
        <f t="shared" si="4"/>
        <v>0</v>
      </c>
      <c r="Q42" s="346"/>
      <c r="R42" s="346">
        <f t="shared" si="6"/>
        <v>0</v>
      </c>
      <c r="S42" s="130"/>
      <c r="T42" s="136"/>
      <c r="U42" s="136"/>
    </row>
    <row r="43" spans="1:21" ht="29.45" customHeight="1">
      <c r="A43" s="133">
        <v>3</v>
      </c>
      <c r="B43" s="134" t="s">
        <v>480</v>
      </c>
      <c r="C43" s="135">
        <f t="shared" si="7"/>
        <v>185</v>
      </c>
      <c r="D43" s="135"/>
      <c r="E43" s="135">
        <v>185</v>
      </c>
      <c r="F43" s="135">
        <f t="shared" si="8"/>
        <v>5</v>
      </c>
      <c r="G43" s="135">
        <f>J43</f>
        <v>0</v>
      </c>
      <c r="H43" s="135">
        <f t="shared" si="21"/>
        <v>5</v>
      </c>
      <c r="I43" s="135">
        <f t="shared" si="11"/>
        <v>5</v>
      </c>
      <c r="J43" s="135">
        <f t="shared" si="12"/>
        <v>0</v>
      </c>
      <c r="K43" s="135"/>
      <c r="L43" s="135"/>
      <c r="M43" s="135">
        <f t="shared" si="22"/>
        <v>5</v>
      </c>
      <c r="N43" s="135">
        <v>5</v>
      </c>
      <c r="O43" s="135"/>
      <c r="P43" s="346">
        <f t="shared" si="4"/>
        <v>2.7027027027027026</v>
      </c>
      <c r="Q43" s="346"/>
      <c r="R43" s="346">
        <f t="shared" si="6"/>
        <v>2.7027027027027026</v>
      </c>
      <c r="S43" s="130"/>
      <c r="T43" s="136"/>
      <c r="U43" s="136"/>
    </row>
    <row r="44" spans="1:21" s="131" customFormat="1" ht="28.5">
      <c r="A44" s="233" t="s">
        <v>41</v>
      </c>
      <c r="B44" s="234" t="s">
        <v>482</v>
      </c>
      <c r="C44" s="129">
        <f>C45+C46</f>
        <v>82</v>
      </c>
      <c r="D44" s="129">
        <f t="shared" ref="D44:O44" si="23">D45+D46</f>
        <v>0</v>
      </c>
      <c r="E44" s="129">
        <f t="shared" si="23"/>
        <v>82</v>
      </c>
      <c r="F44" s="129">
        <f t="shared" si="23"/>
        <v>82</v>
      </c>
      <c r="G44" s="129">
        <f t="shared" si="23"/>
        <v>0</v>
      </c>
      <c r="H44" s="129">
        <f t="shared" si="23"/>
        <v>82</v>
      </c>
      <c r="I44" s="129">
        <f t="shared" si="23"/>
        <v>82</v>
      </c>
      <c r="J44" s="129">
        <f t="shared" si="23"/>
        <v>0</v>
      </c>
      <c r="K44" s="129">
        <f t="shared" si="23"/>
        <v>0</v>
      </c>
      <c r="L44" s="129">
        <f t="shared" si="23"/>
        <v>0</v>
      </c>
      <c r="M44" s="129">
        <f t="shared" si="23"/>
        <v>82</v>
      </c>
      <c r="N44" s="129">
        <f t="shared" si="23"/>
        <v>82</v>
      </c>
      <c r="O44" s="129">
        <f t="shared" si="23"/>
        <v>0</v>
      </c>
      <c r="P44" s="346">
        <f t="shared" si="4"/>
        <v>100</v>
      </c>
      <c r="Q44" s="346"/>
      <c r="R44" s="346">
        <f t="shared" si="6"/>
        <v>100</v>
      </c>
      <c r="S44" s="130"/>
      <c r="T44" s="132"/>
      <c r="U44" s="132"/>
    </row>
    <row r="45" spans="1:21" ht="45">
      <c r="A45" s="133">
        <v>1</v>
      </c>
      <c r="B45" s="134" t="s">
        <v>483</v>
      </c>
      <c r="C45" s="135">
        <f t="shared" si="7"/>
        <v>38</v>
      </c>
      <c r="D45" s="135"/>
      <c r="E45" s="135">
        <v>38</v>
      </c>
      <c r="F45" s="135">
        <f t="shared" si="8"/>
        <v>38</v>
      </c>
      <c r="G45" s="135">
        <f>J45</f>
        <v>0</v>
      </c>
      <c r="H45" s="135">
        <f>M45</f>
        <v>38</v>
      </c>
      <c r="I45" s="135">
        <f t="shared" si="11"/>
        <v>38</v>
      </c>
      <c r="J45" s="135">
        <f t="shared" si="12"/>
        <v>0</v>
      </c>
      <c r="K45" s="135"/>
      <c r="L45" s="135"/>
      <c r="M45" s="135">
        <f>N45+O45</f>
        <v>38</v>
      </c>
      <c r="N45" s="135">
        <v>38</v>
      </c>
      <c r="O45" s="135"/>
      <c r="P45" s="346">
        <f t="shared" si="4"/>
        <v>100</v>
      </c>
      <c r="Q45" s="346"/>
      <c r="R45" s="346">
        <f t="shared" si="6"/>
        <v>100</v>
      </c>
      <c r="S45" s="127"/>
      <c r="T45" s="136"/>
      <c r="U45" s="136"/>
    </row>
    <row r="46" spans="1:21" ht="45">
      <c r="A46" s="133">
        <v>2</v>
      </c>
      <c r="B46" s="134" t="s">
        <v>484</v>
      </c>
      <c r="C46" s="135">
        <f t="shared" si="7"/>
        <v>44</v>
      </c>
      <c r="D46" s="135"/>
      <c r="E46" s="135">
        <v>44</v>
      </c>
      <c r="F46" s="135">
        <f t="shared" si="8"/>
        <v>44</v>
      </c>
      <c r="G46" s="135">
        <f>J46</f>
        <v>0</v>
      </c>
      <c r="H46" s="135">
        <f>M46</f>
        <v>44</v>
      </c>
      <c r="I46" s="135">
        <f t="shared" si="11"/>
        <v>44</v>
      </c>
      <c r="J46" s="135">
        <f t="shared" si="12"/>
        <v>0</v>
      </c>
      <c r="K46" s="135"/>
      <c r="L46" s="135"/>
      <c r="M46" s="135">
        <f>N46+O46</f>
        <v>44</v>
      </c>
      <c r="N46" s="135">
        <v>44</v>
      </c>
      <c r="O46" s="135"/>
      <c r="P46" s="346">
        <f t="shared" si="4"/>
        <v>100</v>
      </c>
      <c r="Q46" s="346"/>
      <c r="R46" s="346">
        <f t="shared" si="6"/>
        <v>100</v>
      </c>
      <c r="S46" s="130"/>
      <c r="T46" s="136"/>
      <c r="U46" s="136"/>
    </row>
    <row r="47" spans="1:21" s="131" customFormat="1" ht="42.75">
      <c r="A47" s="233" t="s">
        <v>346</v>
      </c>
      <c r="B47" s="234" t="s">
        <v>485</v>
      </c>
      <c r="C47" s="129">
        <f>SUM(C48:C59)</f>
        <v>472</v>
      </c>
      <c r="D47" s="129">
        <f t="shared" ref="D47:O47" si="24">SUM(D48:D59)</f>
        <v>0</v>
      </c>
      <c r="E47" s="129">
        <f t="shared" si="24"/>
        <v>472</v>
      </c>
      <c r="F47" s="129">
        <f t="shared" si="24"/>
        <v>325.03899999999999</v>
      </c>
      <c r="G47" s="129">
        <f t="shared" si="24"/>
        <v>0</v>
      </c>
      <c r="H47" s="129">
        <f t="shared" si="24"/>
        <v>325.03899999999999</v>
      </c>
      <c r="I47" s="129">
        <f t="shared" si="24"/>
        <v>325.03899999999999</v>
      </c>
      <c r="J47" s="129">
        <f t="shared" si="24"/>
        <v>0</v>
      </c>
      <c r="K47" s="129">
        <f t="shared" si="24"/>
        <v>0</v>
      </c>
      <c r="L47" s="129">
        <f t="shared" si="24"/>
        <v>0</v>
      </c>
      <c r="M47" s="129">
        <f t="shared" si="24"/>
        <v>325.03899999999999</v>
      </c>
      <c r="N47" s="129">
        <f t="shared" si="24"/>
        <v>325.03899999999999</v>
      </c>
      <c r="O47" s="129">
        <f t="shared" si="24"/>
        <v>0</v>
      </c>
      <c r="P47" s="345">
        <f t="shared" si="4"/>
        <v>68.864194915254245</v>
      </c>
      <c r="Q47" s="345"/>
      <c r="R47" s="345">
        <f t="shared" si="6"/>
        <v>68.864194915254245</v>
      </c>
      <c r="S47" s="130"/>
      <c r="T47" s="132"/>
      <c r="U47" s="132"/>
    </row>
    <row r="48" spans="1:21" ht="30">
      <c r="A48" s="133">
        <v>1</v>
      </c>
      <c r="B48" s="134" t="s">
        <v>481</v>
      </c>
      <c r="C48" s="135">
        <f t="shared" si="7"/>
        <v>142</v>
      </c>
      <c r="D48" s="135"/>
      <c r="E48" s="135">
        <v>142</v>
      </c>
      <c r="F48" s="135">
        <f t="shared" si="8"/>
        <v>19.649999999999999</v>
      </c>
      <c r="G48" s="135">
        <f>J48</f>
        <v>0</v>
      </c>
      <c r="H48" s="135">
        <f>M48</f>
        <v>19.649999999999999</v>
      </c>
      <c r="I48" s="135">
        <f t="shared" si="11"/>
        <v>19.649999999999999</v>
      </c>
      <c r="J48" s="135">
        <f t="shared" si="12"/>
        <v>0</v>
      </c>
      <c r="K48" s="135"/>
      <c r="L48" s="135"/>
      <c r="M48" s="135">
        <f>N48+O48</f>
        <v>19.649999999999999</v>
      </c>
      <c r="N48" s="135">
        <v>19.649999999999999</v>
      </c>
      <c r="O48" s="135"/>
      <c r="P48" s="346">
        <f t="shared" si="4"/>
        <v>13.838028169014082</v>
      </c>
      <c r="Q48" s="346"/>
      <c r="R48" s="346">
        <f t="shared" si="6"/>
        <v>13.838028169014082</v>
      </c>
      <c r="S48" s="130"/>
      <c r="T48" s="136"/>
      <c r="U48" s="136"/>
    </row>
    <row r="49" spans="1:21">
      <c r="A49" s="133">
        <v>2</v>
      </c>
      <c r="B49" s="134" t="s">
        <v>249</v>
      </c>
      <c r="C49" s="135">
        <f t="shared" si="7"/>
        <v>30</v>
      </c>
      <c r="D49" s="135"/>
      <c r="E49" s="135">
        <v>30</v>
      </c>
      <c r="F49" s="135">
        <f t="shared" si="8"/>
        <v>30</v>
      </c>
      <c r="G49" s="135">
        <f t="shared" ref="G49:G59" si="25">J49</f>
        <v>0</v>
      </c>
      <c r="H49" s="135">
        <f t="shared" ref="H49:H59" si="26">M49</f>
        <v>30</v>
      </c>
      <c r="I49" s="135">
        <f t="shared" si="11"/>
        <v>30</v>
      </c>
      <c r="J49" s="135">
        <f t="shared" si="12"/>
        <v>0</v>
      </c>
      <c r="K49" s="135"/>
      <c r="L49" s="135"/>
      <c r="M49" s="135">
        <f t="shared" ref="M49:M59" si="27">N49+O49</f>
        <v>30</v>
      </c>
      <c r="N49" s="135">
        <v>30</v>
      </c>
      <c r="O49" s="135"/>
      <c r="P49" s="346">
        <f t="shared" si="4"/>
        <v>100</v>
      </c>
      <c r="Q49" s="346"/>
      <c r="R49" s="346">
        <f t="shared" si="6"/>
        <v>100</v>
      </c>
      <c r="S49" s="130"/>
      <c r="T49" s="136"/>
      <c r="U49" s="136"/>
    </row>
    <row r="50" spans="1:21">
      <c r="A50" s="133">
        <v>3</v>
      </c>
      <c r="B50" s="134" t="s">
        <v>248</v>
      </c>
      <c r="C50" s="135">
        <f t="shared" si="7"/>
        <v>30</v>
      </c>
      <c r="D50" s="135"/>
      <c r="E50" s="135">
        <v>30</v>
      </c>
      <c r="F50" s="135">
        <f t="shared" si="8"/>
        <v>30</v>
      </c>
      <c r="G50" s="135">
        <f t="shared" si="25"/>
        <v>0</v>
      </c>
      <c r="H50" s="135">
        <f t="shared" si="26"/>
        <v>30</v>
      </c>
      <c r="I50" s="135">
        <f t="shared" si="11"/>
        <v>30</v>
      </c>
      <c r="J50" s="135">
        <f t="shared" si="12"/>
        <v>0</v>
      </c>
      <c r="K50" s="135"/>
      <c r="L50" s="135"/>
      <c r="M50" s="135">
        <f t="shared" si="27"/>
        <v>30</v>
      </c>
      <c r="N50" s="135">
        <v>30</v>
      </c>
      <c r="O50" s="135"/>
      <c r="P50" s="346">
        <f t="shared" si="4"/>
        <v>100</v>
      </c>
      <c r="Q50" s="346"/>
      <c r="R50" s="346">
        <f t="shared" si="6"/>
        <v>100</v>
      </c>
      <c r="S50" s="130"/>
      <c r="T50" s="136"/>
      <c r="U50" s="136"/>
    </row>
    <row r="51" spans="1:21">
      <c r="A51" s="133">
        <v>4</v>
      </c>
      <c r="B51" s="134" t="s">
        <v>250</v>
      </c>
      <c r="C51" s="135">
        <f t="shared" si="7"/>
        <v>30</v>
      </c>
      <c r="D51" s="135"/>
      <c r="E51" s="135">
        <v>30</v>
      </c>
      <c r="F51" s="135">
        <f t="shared" si="8"/>
        <v>30</v>
      </c>
      <c r="G51" s="135">
        <f t="shared" si="25"/>
        <v>0</v>
      </c>
      <c r="H51" s="135">
        <f t="shared" si="26"/>
        <v>30</v>
      </c>
      <c r="I51" s="135">
        <f t="shared" si="11"/>
        <v>30</v>
      </c>
      <c r="J51" s="135">
        <f t="shared" si="12"/>
        <v>0</v>
      </c>
      <c r="K51" s="135"/>
      <c r="L51" s="135"/>
      <c r="M51" s="135">
        <f t="shared" si="27"/>
        <v>30</v>
      </c>
      <c r="N51" s="135">
        <v>30</v>
      </c>
      <c r="O51" s="135"/>
      <c r="P51" s="346">
        <f t="shared" si="4"/>
        <v>100</v>
      </c>
      <c r="Q51" s="346"/>
      <c r="R51" s="346">
        <f t="shared" si="6"/>
        <v>100</v>
      </c>
      <c r="S51" s="130"/>
      <c r="T51" s="136"/>
      <c r="U51" s="136"/>
    </row>
    <row r="52" spans="1:21">
      <c r="A52" s="133">
        <v>5</v>
      </c>
      <c r="B52" s="134" t="s">
        <v>462</v>
      </c>
      <c r="C52" s="135">
        <f t="shared" si="7"/>
        <v>30</v>
      </c>
      <c r="D52" s="135"/>
      <c r="E52" s="135">
        <v>30</v>
      </c>
      <c r="F52" s="135">
        <f t="shared" si="8"/>
        <v>30</v>
      </c>
      <c r="G52" s="135">
        <f t="shared" si="25"/>
        <v>0</v>
      </c>
      <c r="H52" s="135">
        <f t="shared" si="26"/>
        <v>30</v>
      </c>
      <c r="I52" s="135">
        <f t="shared" si="11"/>
        <v>30</v>
      </c>
      <c r="J52" s="135">
        <f t="shared" si="12"/>
        <v>0</v>
      </c>
      <c r="K52" s="135"/>
      <c r="L52" s="135"/>
      <c r="M52" s="135">
        <f t="shared" si="27"/>
        <v>30</v>
      </c>
      <c r="N52" s="135">
        <v>30</v>
      </c>
      <c r="O52" s="135"/>
      <c r="P52" s="346">
        <f t="shared" si="4"/>
        <v>100</v>
      </c>
      <c r="Q52" s="346"/>
      <c r="R52" s="346">
        <f t="shared" si="6"/>
        <v>100</v>
      </c>
      <c r="S52" s="130"/>
      <c r="T52" s="136"/>
      <c r="U52" s="136"/>
    </row>
    <row r="53" spans="1:21">
      <c r="A53" s="133">
        <v>6</v>
      </c>
      <c r="B53" s="134" t="s">
        <v>452</v>
      </c>
      <c r="C53" s="135">
        <f t="shared" si="7"/>
        <v>30</v>
      </c>
      <c r="D53" s="135"/>
      <c r="E53" s="135">
        <v>30</v>
      </c>
      <c r="F53" s="135">
        <f t="shared" si="8"/>
        <v>30</v>
      </c>
      <c r="G53" s="135">
        <f t="shared" si="25"/>
        <v>0</v>
      </c>
      <c r="H53" s="135">
        <f t="shared" si="26"/>
        <v>30</v>
      </c>
      <c r="I53" s="135">
        <f t="shared" si="11"/>
        <v>30</v>
      </c>
      <c r="J53" s="135">
        <f t="shared" si="12"/>
        <v>0</v>
      </c>
      <c r="K53" s="135"/>
      <c r="L53" s="135"/>
      <c r="M53" s="135">
        <f t="shared" si="27"/>
        <v>30</v>
      </c>
      <c r="N53" s="135">
        <v>30</v>
      </c>
      <c r="O53" s="135"/>
      <c r="P53" s="346">
        <f t="shared" si="4"/>
        <v>100</v>
      </c>
      <c r="Q53" s="346"/>
      <c r="R53" s="346">
        <f t="shared" si="6"/>
        <v>100</v>
      </c>
      <c r="S53" s="130"/>
      <c r="T53" s="136"/>
      <c r="U53" s="136"/>
    </row>
    <row r="54" spans="1:21">
      <c r="A54" s="133">
        <v>7</v>
      </c>
      <c r="B54" s="134" t="s">
        <v>252</v>
      </c>
      <c r="C54" s="135">
        <f t="shared" si="7"/>
        <v>30</v>
      </c>
      <c r="D54" s="135"/>
      <c r="E54" s="135">
        <v>30</v>
      </c>
      <c r="F54" s="135">
        <f t="shared" si="8"/>
        <v>30</v>
      </c>
      <c r="G54" s="135">
        <f t="shared" si="25"/>
        <v>0</v>
      </c>
      <c r="H54" s="135">
        <f t="shared" si="26"/>
        <v>30</v>
      </c>
      <c r="I54" s="135">
        <f t="shared" si="11"/>
        <v>30</v>
      </c>
      <c r="J54" s="135">
        <f t="shared" si="12"/>
        <v>0</v>
      </c>
      <c r="K54" s="135"/>
      <c r="L54" s="135"/>
      <c r="M54" s="135">
        <f t="shared" si="27"/>
        <v>30</v>
      </c>
      <c r="N54" s="135">
        <v>30</v>
      </c>
      <c r="O54" s="135"/>
      <c r="P54" s="346">
        <f t="shared" si="4"/>
        <v>100</v>
      </c>
      <c r="Q54" s="346"/>
      <c r="R54" s="346">
        <f t="shared" si="6"/>
        <v>100</v>
      </c>
      <c r="S54" s="130"/>
      <c r="T54" s="136"/>
      <c r="U54" s="136"/>
    </row>
    <row r="55" spans="1:21">
      <c r="A55" s="133">
        <v>8</v>
      </c>
      <c r="B55" s="134" t="s">
        <v>451</v>
      </c>
      <c r="C55" s="135">
        <f t="shared" si="7"/>
        <v>30</v>
      </c>
      <c r="D55" s="135"/>
      <c r="E55" s="135">
        <v>30</v>
      </c>
      <c r="F55" s="135">
        <f t="shared" si="8"/>
        <v>30</v>
      </c>
      <c r="G55" s="135">
        <f t="shared" si="25"/>
        <v>0</v>
      </c>
      <c r="H55" s="135">
        <f t="shared" si="26"/>
        <v>30</v>
      </c>
      <c r="I55" s="135">
        <f t="shared" si="11"/>
        <v>30</v>
      </c>
      <c r="J55" s="135">
        <f t="shared" si="12"/>
        <v>0</v>
      </c>
      <c r="K55" s="135"/>
      <c r="L55" s="135"/>
      <c r="M55" s="135">
        <f t="shared" si="27"/>
        <v>30</v>
      </c>
      <c r="N55" s="135">
        <v>30</v>
      </c>
      <c r="O55" s="135"/>
      <c r="P55" s="346">
        <f t="shared" si="4"/>
        <v>100</v>
      </c>
      <c r="Q55" s="346"/>
      <c r="R55" s="346">
        <f t="shared" si="6"/>
        <v>100</v>
      </c>
      <c r="S55" s="130"/>
      <c r="T55" s="136"/>
      <c r="U55" s="136"/>
    </row>
    <row r="56" spans="1:21">
      <c r="A56" s="133">
        <v>9</v>
      </c>
      <c r="B56" s="134" t="s">
        <v>514</v>
      </c>
      <c r="C56" s="135">
        <f t="shared" si="7"/>
        <v>30</v>
      </c>
      <c r="D56" s="135"/>
      <c r="E56" s="135">
        <v>30</v>
      </c>
      <c r="F56" s="135">
        <f t="shared" si="8"/>
        <v>21.114000000000001</v>
      </c>
      <c r="G56" s="135">
        <f t="shared" si="25"/>
        <v>0</v>
      </c>
      <c r="H56" s="135">
        <f t="shared" si="26"/>
        <v>21.114000000000001</v>
      </c>
      <c r="I56" s="135">
        <f t="shared" si="11"/>
        <v>21.114000000000001</v>
      </c>
      <c r="J56" s="135">
        <f t="shared" si="12"/>
        <v>0</v>
      </c>
      <c r="K56" s="135"/>
      <c r="L56" s="135"/>
      <c r="M56" s="135">
        <f t="shared" si="27"/>
        <v>21.114000000000001</v>
      </c>
      <c r="N56" s="135">
        <v>21.114000000000001</v>
      </c>
      <c r="O56" s="135"/>
      <c r="P56" s="346">
        <f t="shared" si="4"/>
        <v>70.38</v>
      </c>
      <c r="Q56" s="346"/>
      <c r="R56" s="346">
        <f t="shared" si="6"/>
        <v>70.38</v>
      </c>
      <c r="S56" s="130"/>
      <c r="T56" s="136"/>
      <c r="U56" s="136"/>
    </row>
    <row r="57" spans="1:21">
      <c r="A57" s="133">
        <v>10</v>
      </c>
      <c r="B57" s="134" t="s">
        <v>245</v>
      </c>
      <c r="C57" s="135">
        <f t="shared" si="7"/>
        <v>30</v>
      </c>
      <c r="D57" s="135"/>
      <c r="E57" s="135">
        <v>30</v>
      </c>
      <c r="F57" s="135">
        <f t="shared" si="8"/>
        <v>14.275</v>
      </c>
      <c r="G57" s="135">
        <f t="shared" si="25"/>
        <v>0</v>
      </c>
      <c r="H57" s="135">
        <f t="shared" si="26"/>
        <v>14.275</v>
      </c>
      <c r="I57" s="135">
        <f t="shared" si="11"/>
        <v>14.275</v>
      </c>
      <c r="J57" s="135">
        <f t="shared" si="12"/>
        <v>0</v>
      </c>
      <c r="K57" s="135"/>
      <c r="L57" s="135"/>
      <c r="M57" s="135">
        <f t="shared" si="27"/>
        <v>14.275</v>
      </c>
      <c r="N57" s="135">
        <v>14.275</v>
      </c>
      <c r="O57" s="135"/>
      <c r="P57" s="346">
        <f t="shared" si="4"/>
        <v>47.583333333333336</v>
      </c>
      <c r="Q57" s="346"/>
      <c r="R57" s="346">
        <f t="shared" si="6"/>
        <v>47.583333333333336</v>
      </c>
      <c r="S57" s="130"/>
      <c r="T57" s="136"/>
      <c r="U57" s="136"/>
    </row>
    <row r="58" spans="1:21">
      <c r="A58" s="133">
        <v>11</v>
      </c>
      <c r="B58" s="134" t="s">
        <v>471</v>
      </c>
      <c r="C58" s="135">
        <f t="shared" si="7"/>
        <v>30</v>
      </c>
      <c r="D58" s="135"/>
      <c r="E58" s="135">
        <v>30</v>
      </c>
      <c r="F58" s="135">
        <f t="shared" si="8"/>
        <v>30</v>
      </c>
      <c r="G58" s="135">
        <f t="shared" si="25"/>
        <v>0</v>
      </c>
      <c r="H58" s="135">
        <f t="shared" si="26"/>
        <v>30</v>
      </c>
      <c r="I58" s="135">
        <f t="shared" si="11"/>
        <v>30</v>
      </c>
      <c r="J58" s="135">
        <f t="shared" si="12"/>
        <v>0</v>
      </c>
      <c r="K58" s="135"/>
      <c r="L58" s="135"/>
      <c r="M58" s="135">
        <f t="shared" si="27"/>
        <v>30</v>
      </c>
      <c r="N58" s="135">
        <v>30</v>
      </c>
      <c r="O58" s="135"/>
      <c r="P58" s="346">
        <f t="shared" si="4"/>
        <v>100</v>
      </c>
      <c r="Q58" s="346"/>
      <c r="R58" s="346">
        <f t="shared" si="6"/>
        <v>100</v>
      </c>
      <c r="S58" s="130"/>
      <c r="T58" s="136"/>
      <c r="U58" s="136"/>
    </row>
    <row r="59" spans="1:21">
      <c r="A59" s="133">
        <v>12</v>
      </c>
      <c r="B59" s="134" t="s">
        <v>247</v>
      </c>
      <c r="C59" s="135">
        <f t="shared" si="7"/>
        <v>30</v>
      </c>
      <c r="D59" s="135"/>
      <c r="E59" s="135">
        <v>30</v>
      </c>
      <c r="F59" s="135">
        <f t="shared" si="8"/>
        <v>30</v>
      </c>
      <c r="G59" s="135">
        <f t="shared" si="25"/>
        <v>0</v>
      </c>
      <c r="H59" s="135">
        <f t="shared" si="26"/>
        <v>30</v>
      </c>
      <c r="I59" s="135">
        <f t="shared" si="11"/>
        <v>30</v>
      </c>
      <c r="J59" s="135">
        <f t="shared" si="12"/>
        <v>0</v>
      </c>
      <c r="K59" s="135"/>
      <c r="L59" s="135"/>
      <c r="M59" s="135">
        <f t="shared" si="27"/>
        <v>30</v>
      </c>
      <c r="N59" s="135">
        <v>30</v>
      </c>
      <c r="O59" s="135"/>
      <c r="P59" s="346">
        <f t="shared" si="4"/>
        <v>100</v>
      </c>
      <c r="Q59" s="346"/>
      <c r="R59" s="346">
        <f t="shared" si="6"/>
        <v>100</v>
      </c>
      <c r="S59" s="130"/>
      <c r="T59" s="136"/>
      <c r="U59" s="136"/>
    </row>
    <row r="60" spans="1:21" s="131" customFormat="1" ht="42.75">
      <c r="A60" s="233" t="s">
        <v>23</v>
      </c>
      <c r="B60" s="234" t="s">
        <v>513</v>
      </c>
      <c r="C60" s="129">
        <f>C61+C73+C75+C77+C79+C81+C83</f>
        <v>20770</v>
      </c>
      <c r="D60" s="129">
        <f t="shared" ref="D60:O60" si="28">D61+D73+D75+D77+D79+D81+D83</f>
        <v>18770</v>
      </c>
      <c r="E60" s="129">
        <f t="shared" si="28"/>
        <v>2000</v>
      </c>
      <c r="F60" s="129">
        <f t="shared" si="28"/>
        <v>11636.815232999999</v>
      </c>
      <c r="G60" s="129">
        <f t="shared" si="28"/>
        <v>10049.431500000001</v>
      </c>
      <c r="H60" s="129">
        <f t="shared" si="28"/>
        <v>1587.3837330000001</v>
      </c>
      <c r="I60" s="129">
        <f t="shared" si="28"/>
        <v>11636.815232999999</v>
      </c>
      <c r="J60" s="129">
        <f t="shared" si="28"/>
        <v>10049.431500000001</v>
      </c>
      <c r="K60" s="129">
        <f t="shared" si="28"/>
        <v>10049.431500000001</v>
      </c>
      <c r="L60" s="129">
        <f t="shared" si="28"/>
        <v>0</v>
      </c>
      <c r="M60" s="129">
        <f t="shared" si="28"/>
        <v>1587.3837330000001</v>
      </c>
      <c r="N60" s="129">
        <f t="shared" si="28"/>
        <v>1587.3837330000001</v>
      </c>
      <c r="O60" s="129">
        <f t="shared" si="28"/>
        <v>0</v>
      </c>
      <c r="P60" s="345">
        <f t="shared" si="4"/>
        <v>56.027035305729413</v>
      </c>
      <c r="Q60" s="345">
        <f t="shared" si="5"/>
        <v>53.539858817261589</v>
      </c>
      <c r="R60" s="345">
        <f t="shared" si="6"/>
        <v>79.369186650000003</v>
      </c>
      <c r="S60" s="130"/>
      <c r="T60" s="132"/>
      <c r="U60" s="132"/>
    </row>
    <row r="61" spans="1:21" s="131" customFormat="1" ht="42.75">
      <c r="A61" s="233" t="s">
        <v>3</v>
      </c>
      <c r="B61" s="234" t="s">
        <v>486</v>
      </c>
      <c r="C61" s="129">
        <f>SUM(C62:C72)</f>
        <v>18770</v>
      </c>
      <c r="D61" s="129">
        <f t="shared" ref="D61:O61" si="29">SUM(D62:D72)</f>
        <v>18770</v>
      </c>
      <c r="E61" s="129">
        <f t="shared" si="29"/>
        <v>0</v>
      </c>
      <c r="F61" s="129">
        <f t="shared" si="29"/>
        <v>10049.431500000001</v>
      </c>
      <c r="G61" s="129">
        <f t="shared" si="29"/>
        <v>10049.431500000001</v>
      </c>
      <c r="H61" s="129">
        <f t="shared" si="29"/>
        <v>0</v>
      </c>
      <c r="I61" s="129">
        <f t="shared" si="29"/>
        <v>10049.431500000001</v>
      </c>
      <c r="J61" s="129">
        <f t="shared" si="29"/>
        <v>10049.431500000001</v>
      </c>
      <c r="K61" s="129">
        <f t="shared" si="29"/>
        <v>10049.431500000001</v>
      </c>
      <c r="L61" s="129">
        <f t="shared" si="29"/>
        <v>0</v>
      </c>
      <c r="M61" s="129">
        <f t="shared" si="29"/>
        <v>0</v>
      </c>
      <c r="N61" s="129">
        <f t="shared" si="29"/>
        <v>0</v>
      </c>
      <c r="O61" s="129">
        <f t="shared" si="29"/>
        <v>0</v>
      </c>
      <c r="P61" s="346">
        <f t="shared" si="4"/>
        <v>53.539858817261589</v>
      </c>
      <c r="Q61" s="346">
        <f t="shared" si="5"/>
        <v>53.539858817261589</v>
      </c>
      <c r="R61" s="346"/>
      <c r="S61" s="130"/>
      <c r="T61" s="132"/>
      <c r="U61" s="132"/>
    </row>
    <row r="62" spans="1:21">
      <c r="A62" s="264">
        <v>1</v>
      </c>
      <c r="B62" s="265" t="s">
        <v>462</v>
      </c>
      <c r="C62" s="135">
        <f t="shared" si="7"/>
        <v>1706</v>
      </c>
      <c r="D62" s="135">
        <v>1706</v>
      </c>
      <c r="E62" s="135"/>
      <c r="F62" s="135">
        <f t="shared" si="8"/>
        <v>0</v>
      </c>
      <c r="G62" s="135"/>
      <c r="H62" s="135">
        <f t="shared" ref="H62:H72" si="30">M62</f>
        <v>0</v>
      </c>
      <c r="I62" s="135">
        <f t="shared" si="11"/>
        <v>0</v>
      </c>
      <c r="J62" s="135">
        <f t="shared" si="12"/>
        <v>0</v>
      </c>
      <c r="K62" s="135">
        <v>0</v>
      </c>
      <c r="L62" s="135"/>
      <c r="M62" s="135">
        <f>N62+O62</f>
        <v>0</v>
      </c>
      <c r="N62" s="135"/>
      <c r="O62" s="135"/>
      <c r="P62" s="346">
        <f t="shared" si="4"/>
        <v>0</v>
      </c>
      <c r="Q62" s="346">
        <f t="shared" si="5"/>
        <v>0</v>
      </c>
      <c r="R62" s="346"/>
      <c r="S62" s="130"/>
      <c r="T62" s="136"/>
      <c r="U62" s="136"/>
    </row>
    <row r="63" spans="1:21">
      <c r="A63" s="264">
        <v>2</v>
      </c>
      <c r="B63" s="266" t="s">
        <v>448</v>
      </c>
      <c r="C63" s="135">
        <f t="shared" si="7"/>
        <v>1706</v>
      </c>
      <c r="D63" s="135">
        <v>1706</v>
      </c>
      <c r="E63" s="135"/>
      <c r="F63" s="135">
        <f t="shared" si="8"/>
        <v>1706</v>
      </c>
      <c r="G63" s="135">
        <f>J63</f>
        <v>1706</v>
      </c>
      <c r="H63" s="135">
        <f t="shared" si="30"/>
        <v>0</v>
      </c>
      <c r="I63" s="135">
        <f t="shared" si="11"/>
        <v>1706</v>
      </c>
      <c r="J63" s="135">
        <f t="shared" si="12"/>
        <v>1706</v>
      </c>
      <c r="K63" s="135">
        <v>1706</v>
      </c>
      <c r="L63" s="135"/>
      <c r="M63" s="135">
        <f t="shared" ref="M63:M154" si="31">N63+O63</f>
        <v>0</v>
      </c>
      <c r="N63" s="135"/>
      <c r="O63" s="135"/>
      <c r="P63" s="346">
        <f t="shared" si="4"/>
        <v>100</v>
      </c>
      <c r="Q63" s="346">
        <f t="shared" si="5"/>
        <v>100</v>
      </c>
      <c r="R63" s="346"/>
      <c r="S63" s="130"/>
      <c r="T63" s="136"/>
      <c r="U63" s="136"/>
    </row>
    <row r="64" spans="1:21">
      <c r="A64" s="264">
        <v>3</v>
      </c>
      <c r="B64" s="266" t="s">
        <v>470</v>
      </c>
      <c r="C64" s="135">
        <f t="shared" si="7"/>
        <v>1706</v>
      </c>
      <c r="D64" s="135">
        <v>1706</v>
      </c>
      <c r="E64" s="135"/>
      <c r="F64" s="135">
        <f t="shared" si="8"/>
        <v>0</v>
      </c>
      <c r="G64" s="135">
        <f t="shared" ref="G64:G72" si="32">J64</f>
        <v>0</v>
      </c>
      <c r="H64" s="135">
        <f t="shared" si="30"/>
        <v>0</v>
      </c>
      <c r="I64" s="135">
        <f t="shared" si="11"/>
        <v>0</v>
      </c>
      <c r="J64" s="135">
        <f t="shared" si="12"/>
        <v>0</v>
      </c>
      <c r="K64" s="135">
        <v>0</v>
      </c>
      <c r="L64" s="135"/>
      <c r="M64" s="135">
        <f t="shared" si="31"/>
        <v>0</v>
      </c>
      <c r="N64" s="135"/>
      <c r="O64" s="135"/>
      <c r="P64" s="346">
        <f t="shared" si="4"/>
        <v>0</v>
      </c>
      <c r="Q64" s="346">
        <f t="shared" si="5"/>
        <v>0</v>
      </c>
      <c r="R64" s="346"/>
      <c r="S64" s="130"/>
      <c r="T64" s="136"/>
      <c r="U64" s="136"/>
    </row>
    <row r="65" spans="1:21">
      <c r="A65" s="264">
        <v>4</v>
      </c>
      <c r="B65" s="266" t="s">
        <v>449</v>
      </c>
      <c r="C65" s="135">
        <f t="shared" si="7"/>
        <v>1706</v>
      </c>
      <c r="D65" s="135">
        <v>1706</v>
      </c>
      <c r="E65" s="135"/>
      <c r="F65" s="135">
        <f t="shared" si="8"/>
        <v>1252.529</v>
      </c>
      <c r="G65" s="135">
        <f t="shared" si="32"/>
        <v>1252.529</v>
      </c>
      <c r="H65" s="135">
        <f t="shared" si="30"/>
        <v>0</v>
      </c>
      <c r="I65" s="135">
        <f t="shared" si="11"/>
        <v>1252.529</v>
      </c>
      <c r="J65" s="135">
        <f t="shared" si="12"/>
        <v>1252.529</v>
      </c>
      <c r="K65" s="135">
        <v>1252.529</v>
      </c>
      <c r="L65" s="135"/>
      <c r="M65" s="135">
        <f t="shared" si="31"/>
        <v>0</v>
      </c>
      <c r="N65" s="135"/>
      <c r="O65" s="135"/>
      <c r="P65" s="346">
        <f t="shared" si="4"/>
        <v>73.41905041031653</v>
      </c>
      <c r="Q65" s="346">
        <f t="shared" si="5"/>
        <v>73.41905041031653</v>
      </c>
      <c r="R65" s="346"/>
      <c r="S65" s="130"/>
      <c r="T65" s="136"/>
      <c r="U65" s="136"/>
    </row>
    <row r="66" spans="1:21">
      <c r="A66" s="264">
        <v>5</v>
      </c>
      <c r="B66" s="265" t="s">
        <v>249</v>
      </c>
      <c r="C66" s="135">
        <f t="shared" si="7"/>
        <v>1706</v>
      </c>
      <c r="D66" s="135">
        <v>1706</v>
      </c>
      <c r="E66" s="135"/>
      <c r="F66" s="135">
        <f t="shared" si="8"/>
        <v>1699.8335</v>
      </c>
      <c r="G66" s="135">
        <f t="shared" si="32"/>
        <v>1699.8335</v>
      </c>
      <c r="H66" s="135">
        <f t="shared" si="30"/>
        <v>0</v>
      </c>
      <c r="I66" s="135">
        <f t="shared" si="11"/>
        <v>1699.8335</v>
      </c>
      <c r="J66" s="135">
        <f t="shared" si="12"/>
        <v>1699.8335</v>
      </c>
      <c r="K66" s="135">
        <v>1699.8335</v>
      </c>
      <c r="L66" s="135"/>
      <c r="M66" s="135">
        <f t="shared" si="31"/>
        <v>0</v>
      </c>
      <c r="N66" s="135"/>
      <c r="O66" s="135"/>
      <c r="P66" s="346">
        <f t="shared" si="4"/>
        <v>99.638540445486512</v>
      </c>
      <c r="Q66" s="346">
        <f t="shared" si="5"/>
        <v>99.638540445486512</v>
      </c>
      <c r="R66" s="346"/>
      <c r="S66" s="130"/>
      <c r="T66" s="136"/>
      <c r="U66" s="136"/>
    </row>
    <row r="67" spans="1:21">
      <c r="A67" s="264">
        <v>6</v>
      </c>
      <c r="B67" s="266" t="s">
        <v>461</v>
      </c>
      <c r="C67" s="135">
        <f t="shared" si="7"/>
        <v>1710</v>
      </c>
      <c r="D67" s="135">
        <v>1710</v>
      </c>
      <c r="E67" s="135"/>
      <c r="F67" s="135">
        <f t="shared" si="8"/>
        <v>1706.1030000000001</v>
      </c>
      <c r="G67" s="135">
        <f t="shared" si="32"/>
        <v>1706.1030000000001</v>
      </c>
      <c r="H67" s="135">
        <f t="shared" si="30"/>
        <v>0</v>
      </c>
      <c r="I67" s="135">
        <f t="shared" si="11"/>
        <v>1706.1030000000001</v>
      </c>
      <c r="J67" s="135">
        <f t="shared" si="12"/>
        <v>1706.1030000000001</v>
      </c>
      <c r="K67" s="135">
        <v>1706.1030000000001</v>
      </c>
      <c r="L67" s="135"/>
      <c r="M67" s="135">
        <f t="shared" si="31"/>
        <v>0</v>
      </c>
      <c r="N67" s="135"/>
      <c r="O67" s="135"/>
      <c r="P67" s="346">
        <f t="shared" si="4"/>
        <v>99.772105263157897</v>
      </c>
      <c r="Q67" s="346">
        <f t="shared" si="5"/>
        <v>99.772105263157897</v>
      </c>
      <c r="R67" s="346"/>
      <c r="S67" s="130"/>
      <c r="T67" s="136"/>
      <c r="U67" s="136"/>
    </row>
    <row r="68" spans="1:21">
      <c r="A68" s="264">
        <v>7</v>
      </c>
      <c r="B68" s="266" t="s">
        <v>246</v>
      </c>
      <c r="C68" s="135">
        <f t="shared" si="7"/>
        <v>1706</v>
      </c>
      <c r="D68" s="135">
        <v>1706</v>
      </c>
      <c r="E68" s="135"/>
      <c r="F68" s="135">
        <f t="shared" si="8"/>
        <v>1103.1500000000001</v>
      </c>
      <c r="G68" s="135">
        <f t="shared" si="32"/>
        <v>1103.1500000000001</v>
      </c>
      <c r="H68" s="135">
        <f t="shared" si="30"/>
        <v>0</v>
      </c>
      <c r="I68" s="135">
        <f t="shared" si="11"/>
        <v>1103.1500000000001</v>
      </c>
      <c r="J68" s="135">
        <f t="shared" si="12"/>
        <v>1103.1500000000001</v>
      </c>
      <c r="K68" s="135">
        <v>1103.1500000000001</v>
      </c>
      <c r="L68" s="135"/>
      <c r="M68" s="135">
        <f t="shared" si="31"/>
        <v>0</v>
      </c>
      <c r="N68" s="135"/>
      <c r="O68" s="135"/>
      <c r="P68" s="346">
        <f t="shared" si="4"/>
        <v>64.662954279015253</v>
      </c>
      <c r="Q68" s="346">
        <f t="shared" si="5"/>
        <v>64.662954279015253</v>
      </c>
      <c r="R68" s="346"/>
      <c r="S68" s="130"/>
      <c r="T68" s="136"/>
      <c r="U68" s="136"/>
    </row>
    <row r="69" spans="1:21">
      <c r="A69" s="264">
        <v>8</v>
      </c>
      <c r="B69" s="266" t="s">
        <v>452</v>
      </c>
      <c r="C69" s="135">
        <f t="shared" si="7"/>
        <v>1706</v>
      </c>
      <c r="D69" s="135">
        <v>1706</v>
      </c>
      <c r="E69" s="135"/>
      <c r="F69" s="135">
        <f t="shared" si="8"/>
        <v>1681.816</v>
      </c>
      <c r="G69" s="135">
        <f t="shared" si="32"/>
        <v>1681.816</v>
      </c>
      <c r="H69" s="135">
        <f t="shared" si="30"/>
        <v>0</v>
      </c>
      <c r="I69" s="135">
        <f t="shared" si="11"/>
        <v>1681.816</v>
      </c>
      <c r="J69" s="135">
        <f t="shared" si="12"/>
        <v>1681.816</v>
      </c>
      <c r="K69" s="135">
        <v>1681.816</v>
      </c>
      <c r="L69" s="135"/>
      <c r="M69" s="135">
        <f t="shared" si="31"/>
        <v>0</v>
      </c>
      <c r="N69" s="135"/>
      <c r="O69" s="135"/>
      <c r="P69" s="346">
        <f t="shared" si="4"/>
        <v>98.582415005861662</v>
      </c>
      <c r="Q69" s="346">
        <f t="shared" si="5"/>
        <v>98.582415005861662</v>
      </c>
      <c r="R69" s="346"/>
      <c r="S69" s="130"/>
      <c r="T69" s="136"/>
      <c r="U69" s="136"/>
    </row>
    <row r="70" spans="1:21">
      <c r="A70" s="264">
        <v>9</v>
      </c>
      <c r="B70" s="266" t="s">
        <v>252</v>
      </c>
      <c r="C70" s="135">
        <f t="shared" si="7"/>
        <v>1706</v>
      </c>
      <c r="D70" s="135">
        <v>1706</v>
      </c>
      <c r="E70" s="135"/>
      <c r="F70" s="135">
        <f t="shared" si="8"/>
        <v>0</v>
      </c>
      <c r="G70" s="135">
        <f t="shared" si="32"/>
        <v>0</v>
      </c>
      <c r="H70" s="135">
        <f t="shared" si="30"/>
        <v>0</v>
      </c>
      <c r="I70" s="135">
        <f t="shared" si="11"/>
        <v>0</v>
      </c>
      <c r="J70" s="135">
        <f t="shared" si="12"/>
        <v>0</v>
      </c>
      <c r="K70" s="135">
        <v>0</v>
      </c>
      <c r="L70" s="135"/>
      <c r="M70" s="135">
        <f t="shared" si="31"/>
        <v>0</v>
      </c>
      <c r="N70" s="135"/>
      <c r="O70" s="135"/>
      <c r="P70" s="346">
        <f t="shared" si="4"/>
        <v>0</v>
      </c>
      <c r="Q70" s="346">
        <f t="shared" si="5"/>
        <v>0</v>
      </c>
      <c r="R70" s="346"/>
      <c r="S70" s="130"/>
      <c r="T70" s="136"/>
      <c r="U70" s="136"/>
    </row>
    <row r="71" spans="1:21">
      <c r="A71" s="264">
        <v>10</v>
      </c>
      <c r="B71" s="266" t="s">
        <v>451</v>
      </c>
      <c r="C71" s="135">
        <f t="shared" si="7"/>
        <v>1706</v>
      </c>
      <c r="D71" s="135">
        <v>1706</v>
      </c>
      <c r="E71" s="135"/>
      <c r="F71" s="135">
        <f t="shared" si="8"/>
        <v>0</v>
      </c>
      <c r="G71" s="135">
        <f t="shared" si="32"/>
        <v>0</v>
      </c>
      <c r="H71" s="135">
        <f t="shared" si="30"/>
        <v>0</v>
      </c>
      <c r="I71" s="135">
        <f t="shared" si="11"/>
        <v>0</v>
      </c>
      <c r="J71" s="135">
        <f t="shared" si="12"/>
        <v>0</v>
      </c>
      <c r="K71" s="135">
        <v>0</v>
      </c>
      <c r="L71" s="135"/>
      <c r="M71" s="135">
        <f t="shared" si="31"/>
        <v>0</v>
      </c>
      <c r="N71" s="135"/>
      <c r="O71" s="135"/>
      <c r="P71" s="346">
        <f t="shared" si="4"/>
        <v>0</v>
      </c>
      <c r="Q71" s="346">
        <f t="shared" si="5"/>
        <v>0</v>
      </c>
      <c r="R71" s="346"/>
      <c r="S71" s="130"/>
      <c r="T71" s="136"/>
      <c r="U71" s="136"/>
    </row>
    <row r="72" spans="1:21">
      <c r="A72" s="264">
        <v>11</v>
      </c>
      <c r="B72" s="266" t="s">
        <v>250</v>
      </c>
      <c r="C72" s="135">
        <f t="shared" si="7"/>
        <v>1706</v>
      </c>
      <c r="D72" s="135">
        <v>1706</v>
      </c>
      <c r="E72" s="135"/>
      <c r="F72" s="135">
        <f t="shared" si="8"/>
        <v>900</v>
      </c>
      <c r="G72" s="135">
        <f t="shared" si="32"/>
        <v>900</v>
      </c>
      <c r="H72" s="135">
        <f t="shared" si="30"/>
        <v>0</v>
      </c>
      <c r="I72" s="135">
        <f t="shared" si="11"/>
        <v>900</v>
      </c>
      <c r="J72" s="135">
        <f>K72+L72</f>
        <v>900</v>
      </c>
      <c r="K72" s="135">
        <v>900</v>
      </c>
      <c r="L72" s="135"/>
      <c r="M72" s="135">
        <f t="shared" si="31"/>
        <v>0</v>
      </c>
      <c r="N72" s="135"/>
      <c r="O72" s="135"/>
      <c r="P72" s="346">
        <f t="shared" si="4"/>
        <v>52.754982415005856</v>
      </c>
      <c r="Q72" s="346">
        <f t="shared" si="5"/>
        <v>52.754982415005856</v>
      </c>
      <c r="R72" s="346"/>
      <c r="S72" s="130"/>
      <c r="T72" s="136"/>
      <c r="U72" s="136"/>
    </row>
    <row r="73" spans="1:21" s="131" customFormat="1" ht="28.5">
      <c r="A73" s="233" t="s">
        <v>31</v>
      </c>
      <c r="B73" s="234" t="s">
        <v>487</v>
      </c>
      <c r="C73" s="129">
        <f>C74</f>
        <v>400</v>
      </c>
      <c r="D73" s="129">
        <f t="shared" ref="D73:O73" si="33">D74</f>
        <v>0</v>
      </c>
      <c r="E73" s="129">
        <f t="shared" si="33"/>
        <v>400</v>
      </c>
      <c r="F73" s="129">
        <f t="shared" si="33"/>
        <v>300</v>
      </c>
      <c r="G73" s="129">
        <f t="shared" si="33"/>
        <v>0</v>
      </c>
      <c r="H73" s="129">
        <f t="shared" si="33"/>
        <v>300</v>
      </c>
      <c r="I73" s="129">
        <f t="shared" si="33"/>
        <v>300</v>
      </c>
      <c r="J73" s="129">
        <f t="shared" si="33"/>
        <v>0</v>
      </c>
      <c r="K73" s="129">
        <f t="shared" si="33"/>
        <v>0</v>
      </c>
      <c r="L73" s="129">
        <f t="shared" si="33"/>
        <v>0</v>
      </c>
      <c r="M73" s="129">
        <f t="shared" si="33"/>
        <v>300</v>
      </c>
      <c r="N73" s="129">
        <f t="shared" si="33"/>
        <v>300</v>
      </c>
      <c r="O73" s="129">
        <f t="shared" si="33"/>
        <v>0</v>
      </c>
      <c r="P73" s="345">
        <f t="shared" si="4"/>
        <v>75</v>
      </c>
      <c r="Q73" s="345"/>
      <c r="R73" s="345">
        <f t="shared" si="6"/>
        <v>75</v>
      </c>
      <c r="S73" s="130"/>
      <c r="T73" s="132"/>
      <c r="U73" s="132"/>
    </row>
    <row r="74" spans="1:21" ht="30">
      <c r="A74" s="133">
        <v>1</v>
      </c>
      <c r="B74" s="134" t="s">
        <v>494</v>
      </c>
      <c r="C74" s="135">
        <f t="shared" si="7"/>
        <v>400</v>
      </c>
      <c r="D74" s="135"/>
      <c r="E74" s="135">
        <v>400</v>
      </c>
      <c r="F74" s="135">
        <f t="shared" si="8"/>
        <v>300</v>
      </c>
      <c r="G74" s="135">
        <f t="shared" ref="G74:G153" si="34">J74</f>
        <v>0</v>
      </c>
      <c r="H74" s="135">
        <f t="shared" ref="H74:H153" si="35">M74</f>
        <v>300</v>
      </c>
      <c r="I74" s="135">
        <f t="shared" ref="I74:I153" si="36">J74+M74</f>
        <v>300</v>
      </c>
      <c r="J74" s="135">
        <f t="shared" ref="J74:J153" si="37">K74+L74</f>
        <v>0</v>
      </c>
      <c r="K74" s="135"/>
      <c r="L74" s="135"/>
      <c r="M74" s="135">
        <f t="shared" si="31"/>
        <v>300</v>
      </c>
      <c r="N74" s="135">
        <v>300</v>
      </c>
      <c r="O74" s="135"/>
      <c r="P74" s="346">
        <f t="shared" si="4"/>
        <v>75</v>
      </c>
      <c r="Q74" s="346"/>
      <c r="R74" s="346">
        <f t="shared" si="6"/>
        <v>75</v>
      </c>
      <c r="S74" s="127"/>
      <c r="T74" s="136"/>
      <c r="U74" s="136"/>
    </row>
    <row r="75" spans="1:21" s="131" customFormat="1" ht="57">
      <c r="A75" s="233" t="s">
        <v>35</v>
      </c>
      <c r="B75" s="234" t="s">
        <v>488</v>
      </c>
      <c r="C75" s="129">
        <f>C76</f>
        <v>500</v>
      </c>
      <c r="D75" s="129">
        <f t="shared" ref="D75:O75" si="38">D76</f>
        <v>0</v>
      </c>
      <c r="E75" s="129">
        <f t="shared" si="38"/>
        <v>500</v>
      </c>
      <c r="F75" s="129">
        <f t="shared" si="38"/>
        <v>480.59699999999998</v>
      </c>
      <c r="G75" s="129">
        <f t="shared" si="38"/>
        <v>0</v>
      </c>
      <c r="H75" s="129">
        <f t="shared" si="38"/>
        <v>480.59699999999998</v>
      </c>
      <c r="I75" s="129">
        <f t="shared" si="38"/>
        <v>480.59699999999998</v>
      </c>
      <c r="J75" s="129">
        <f t="shared" si="38"/>
        <v>0</v>
      </c>
      <c r="K75" s="129">
        <f t="shared" si="38"/>
        <v>0</v>
      </c>
      <c r="L75" s="129">
        <f t="shared" si="38"/>
        <v>0</v>
      </c>
      <c r="M75" s="129">
        <f t="shared" si="38"/>
        <v>480.59699999999998</v>
      </c>
      <c r="N75" s="129">
        <f t="shared" si="38"/>
        <v>480.59699999999998</v>
      </c>
      <c r="O75" s="129">
        <f t="shared" si="38"/>
        <v>0</v>
      </c>
      <c r="P75" s="345">
        <f t="shared" si="4"/>
        <v>96.119399999999999</v>
      </c>
      <c r="Q75" s="345"/>
      <c r="R75" s="345">
        <f t="shared" si="6"/>
        <v>96.119399999999999</v>
      </c>
      <c r="S75" s="130"/>
      <c r="T75" s="132"/>
      <c r="U75" s="132"/>
    </row>
    <row r="76" spans="1:21" ht="30">
      <c r="A76" s="133">
        <v>1</v>
      </c>
      <c r="B76" s="134" t="s">
        <v>494</v>
      </c>
      <c r="C76" s="135">
        <f t="shared" si="7"/>
        <v>500</v>
      </c>
      <c r="D76" s="135"/>
      <c r="E76" s="135">
        <v>500</v>
      </c>
      <c r="F76" s="135">
        <f t="shared" si="8"/>
        <v>480.59699999999998</v>
      </c>
      <c r="G76" s="135">
        <f t="shared" si="34"/>
        <v>0</v>
      </c>
      <c r="H76" s="135">
        <f t="shared" si="35"/>
        <v>480.59699999999998</v>
      </c>
      <c r="I76" s="135">
        <f t="shared" si="36"/>
        <v>480.59699999999998</v>
      </c>
      <c r="J76" s="135">
        <f t="shared" si="37"/>
        <v>0</v>
      </c>
      <c r="K76" s="135"/>
      <c r="L76" s="135"/>
      <c r="M76" s="135">
        <f t="shared" si="31"/>
        <v>480.59699999999998</v>
      </c>
      <c r="N76" s="135">
        <v>480.59699999999998</v>
      </c>
      <c r="O76" s="135"/>
      <c r="P76" s="346">
        <f t="shared" si="4"/>
        <v>96.119399999999999</v>
      </c>
      <c r="Q76" s="346"/>
      <c r="R76" s="346">
        <f t="shared" si="6"/>
        <v>96.119399999999999</v>
      </c>
      <c r="S76" s="130"/>
      <c r="T76" s="136"/>
      <c r="U76" s="136"/>
    </row>
    <row r="77" spans="1:21" s="131" customFormat="1" ht="28.5">
      <c r="A77" s="233" t="s">
        <v>37</v>
      </c>
      <c r="B77" s="234" t="s">
        <v>491</v>
      </c>
      <c r="C77" s="129">
        <f>C78</f>
        <v>50</v>
      </c>
      <c r="D77" s="129">
        <f t="shared" ref="D77:O77" si="39">D78</f>
        <v>0</v>
      </c>
      <c r="E77" s="129">
        <f t="shared" si="39"/>
        <v>50</v>
      </c>
      <c r="F77" s="129">
        <f t="shared" si="39"/>
        <v>50</v>
      </c>
      <c r="G77" s="129">
        <f t="shared" si="39"/>
        <v>0</v>
      </c>
      <c r="H77" s="129">
        <f t="shared" si="39"/>
        <v>50</v>
      </c>
      <c r="I77" s="129">
        <f t="shared" si="39"/>
        <v>50</v>
      </c>
      <c r="J77" s="129">
        <f t="shared" si="39"/>
        <v>0</v>
      </c>
      <c r="K77" s="129">
        <f t="shared" si="39"/>
        <v>0</v>
      </c>
      <c r="L77" s="129">
        <f t="shared" si="39"/>
        <v>0</v>
      </c>
      <c r="M77" s="129">
        <f t="shared" si="39"/>
        <v>50</v>
      </c>
      <c r="N77" s="129">
        <f t="shared" si="39"/>
        <v>50</v>
      </c>
      <c r="O77" s="129">
        <f t="shared" si="39"/>
        <v>0</v>
      </c>
      <c r="P77" s="346">
        <f t="shared" ref="P77:P140" si="40">F77/C77*100</f>
        <v>100</v>
      </c>
      <c r="Q77" s="346"/>
      <c r="R77" s="346">
        <f t="shared" ref="R77:R140" si="41">H77/E77*100</f>
        <v>100</v>
      </c>
      <c r="S77" s="130"/>
      <c r="T77" s="132"/>
      <c r="U77" s="132"/>
    </row>
    <row r="78" spans="1:21" ht="30">
      <c r="A78" s="133">
        <v>1</v>
      </c>
      <c r="B78" s="134" t="s">
        <v>495</v>
      </c>
      <c r="C78" s="135">
        <f t="shared" si="7"/>
        <v>50</v>
      </c>
      <c r="D78" s="135"/>
      <c r="E78" s="135">
        <v>50</v>
      </c>
      <c r="F78" s="135">
        <f t="shared" si="8"/>
        <v>50</v>
      </c>
      <c r="G78" s="135">
        <f t="shared" si="34"/>
        <v>0</v>
      </c>
      <c r="H78" s="135">
        <f t="shared" si="35"/>
        <v>50</v>
      </c>
      <c r="I78" s="135">
        <f t="shared" si="36"/>
        <v>50</v>
      </c>
      <c r="J78" s="135">
        <f t="shared" si="37"/>
        <v>0</v>
      </c>
      <c r="K78" s="135"/>
      <c r="L78" s="135"/>
      <c r="M78" s="135">
        <f t="shared" si="31"/>
        <v>50</v>
      </c>
      <c r="N78" s="135">
        <v>50</v>
      </c>
      <c r="O78" s="135"/>
      <c r="P78" s="346">
        <f t="shared" si="40"/>
        <v>100</v>
      </c>
      <c r="Q78" s="346"/>
      <c r="R78" s="346">
        <f t="shared" si="41"/>
        <v>100</v>
      </c>
      <c r="S78" s="127"/>
      <c r="T78" s="136"/>
      <c r="U78" s="136"/>
    </row>
    <row r="79" spans="1:21" s="131" customFormat="1" ht="28.5">
      <c r="A79" s="233" t="s">
        <v>39</v>
      </c>
      <c r="B79" s="234" t="s">
        <v>492</v>
      </c>
      <c r="C79" s="129">
        <f>C80</f>
        <v>100</v>
      </c>
      <c r="D79" s="129">
        <f t="shared" ref="D79:O79" si="42">D80</f>
        <v>0</v>
      </c>
      <c r="E79" s="129">
        <f t="shared" si="42"/>
        <v>100</v>
      </c>
      <c r="F79" s="129">
        <f t="shared" si="42"/>
        <v>0</v>
      </c>
      <c r="G79" s="129">
        <f t="shared" si="42"/>
        <v>0</v>
      </c>
      <c r="H79" s="129">
        <f t="shared" si="42"/>
        <v>0</v>
      </c>
      <c r="I79" s="129">
        <f t="shared" si="42"/>
        <v>0</v>
      </c>
      <c r="J79" s="129">
        <f t="shared" si="42"/>
        <v>0</v>
      </c>
      <c r="K79" s="129">
        <f t="shared" si="42"/>
        <v>0</v>
      </c>
      <c r="L79" s="129">
        <f t="shared" si="42"/>
        <v>0</v>
      </c>
      <c r="M79" s="129">
        <f t="shared" si="42"/>
        <v>0</v>
      </c>
      <c r="N79" s="129">
        <f t="shared" si="42"/>
        <v>0</v>
      </c>
      <c r="O79" s="129">
        <f t="shared" si="42"/>
        <v>0</v>
      </c>
      <c r="P79" s="346">
        <f t="shared" si="40"/>
        <v>0</v>
      </c>
      <c r="Q79" s="346"/>
      <c r="R79" s="346">
        <f t="shared" si="41"/>
        <v>0</v>
      </c>
      <c r="S79" s="130"/>
      <c r="T79" s="132"/>
      <c r="U79" s="132"/>
    </row>
    <row r="80" spans="1:21">
      <c r="A80" s="133">
        <v>1</v>
      </c>
      <c r="B80" s="134" t="s">
        <v>493</v>
      </c>
      <c r="C80" s="135">
        <f t="shared" si="7"/>
        <v>100</v>
      </c>
      <c r="D80" s="135"/>
      <c r="E80" s="135">
        <v>100</v>
      </c>
      <c r="F80" s="135">
        <f t="shared" si="8"/>
        <v>0</v>
      </c>
      <c r="G80" s="135">
        <f t="shared" si="34"/>
        <v>0</v>
      </c>
      <c r="H80" s="135">
        <f t="shared" si="35"/>
        <v>0</v>
      </c>
      <c r="I80" s="135">
        <f t="shared" si="36"/>
        <v>0</v>
      </c>
      <c r="J80" s="135">
        <f t="shared" si="37"/>
        <v>0</v>
      </c>
      <c r="K80" s="135"/>
      <c r="L80" s="135"/>
      <c r="M80" s="135">
        <f t="shared" si="31"/>
        <v>0</v>
      </c>
      <c r="N80" s="135"/>
      <c r="O80" s="135"/>
      <c r="P80" s="346">
        <f t="shared" si="40"/>
        <v>0</v>
      </c>
      <c r="Q80" s="346"/>
      <c r="R80" s="346">
        <f t="shared" si="41"/>
        <v>0</v>
      </c>
      <c r="S80" s="127"/>
      <c r="T80" s="136"/>
      <c r="U80" s="136"/>
    </row>
    <row r="81" spans="1:21" s="131" customFormat="1" ht="28.5">
      <c r="A81" s="233" t="s">
        <v>41</v>
      </c>
      <c r="B81" s="234" t="s">
        <v>489</v>
      </c>
      <c r="C81" s="129">
        <f>C82</f>
        <v>85</v>
      </c>
      <c r="D81" s="129">
        <f t="shared" ref="D81:O81" si="43">D82</f>
        <v>0</v>
      </c>
      <c r="E81" s="129">
        <f t="shared" si="43"/>
        <v>85</v>
      </c>
      <c r="F81" s="129">
        <f t="shared" si="43"/>
        <v>81.930432999999994</v>
      </c>
      <c r="G81" s="129">
        <f t="shared" si="43"/>
        <v>0</v>
      </c>
      <c r="H81" s="129">
        <f t="shared" si="43"/>
        <v>81.930432999999994</v>
      </c>
      <c r="I81" s="129">
        <f t="shared" si="43"/>
        <v>81.930432999999994</v>
      </c>
      <c r="J81" s="129">
        <f t="shared" si="43"/>
        <v>0</v>
      </c>
      <c r="K81" s="129">
        <f t="shared" si="43"/>
        <v>0</v>
      </c>
      <c r="L81" s="129">
        <f t="shared" si="43"/>
        <v>0</v>
      </c>
      <c r="M81" s="129">
        <f t="shared" si="43"/>
        <v>81.930432999999994</v>
      </c>
      <c r="N81" s="129">
        <f t="shared" si="43"/>
        <v>81.930432999999994</v>
      </c>
      <c r="O81" s="129">
        <f t="shared" si="43"/>
        <v>0</v>
      </c>
      <c r="P81" s="345">
        <f t="shared" si="40"/>
        <v>96.388744705882345</v>
      </c>
      <c r="Q81" s="345"/>
      <c r="R81" s="345">
        <f t="shared" si="41"/>
        <v>96.388744705882345</v>
      </c>
      <c r="S81" s="130"/>
      <c r="T81" s="132"/>
      <c r="U81" s="132"/>
    </row>
    <row r="82" spans="1:21" ht="30">
      <c r="A82" s="133">
        <v>1</v>
      </c>
      <c r="B82" s="134" t="s">
        <v>494</v>
      </c>
      <c r="C82" s="135">
        <f t="shared" si="7"/>
        <v>85</v>
      </c>
      <c r="D82" s="135"/>
      <c r="E82" s="135">
        <v>85</v>
      </c>
      <c r="F82" s="135">
        <f t="shared" si="8"/>
        <v>81.930432999999994</v>
      </c>
      <c r="G82" s="135">
        <f t="shared" si="34"/>
        <v>0</v>
      </c>
      <c r="H82" s="135">
        <f t="shared" si="35"/>
        <v>81.930432999999994</v>
      </c>
      <c r="I82" s="135">
        <f t="shared" si="36"/>
        <v>81.930432999999994</v>
      </c>
      <c r="J82" s="135">
        <f t="shared" si="37"/>
        <v>0</v>
      </c>
      <c r="K82" s="135"/>
      <c r="L82" s="135"/>
      <c r="M82" s="135">
        <f t="shared" si="31"/>
        <v>81.930432999999994</v>
      </c>
      <c r="N82" s="135">
        <v>81.930432999999994</v>
      </c>
      <c r="O82" s="135"/>
      <c r="P82" s="346">
        <f t="shared" si="40"/>
        <v>96.388744705882345</v>
      </c>
      <c r="Q82" s="346"/>
      <c r="R82" s="346">
        <f t="shared" si="41"/>
        <v>96.388744705882345</v>
      </c>
      <c r="S82" s="130"/>
      <c r="T82" s="136"/>
      <c r="U82" s="136"/>
    </row>
    <row r="83" spans="1:21" s="131" customFormat="1" ht="28.5">
      <c r="A83" s="233" t="s">
        <v>346</v>
      </c>
      <c r="B83" s="234" t="s">
        <v>490</v>
      </c>
      <c r="C83" s="129">
        <f>SUM(C84:C94)</f>
        <v>865</v>
      </c>
      <c r="D83" s="129">
        <f t="shared" ref="D83:O83" si="44">SUM(D84:D94)</f>
        <v>0</v>
      </c>
      <c r="E83" s="129">
        <f>SUM(E84:E94)</f>
        <v>865</v>
      </c>
      <c r="F83" s="129">
        <f t="shared" si="44"/>
        <v>674.85630000000003</v>
      </c>
      <c r="G83" s="129">
        <f t="shared" si="44"/>
        <v>0</v>
      </c>
      <c r="H83" s="129">
        <f t="shared" si="44"/>
        <v>674.85630000000003</v>
      </c>
      <c r="I83" s="129">
        <f t="shared" si="44"/>
        <v>674.85630000000003</v>
      </c>
      <c r="J83" s="129">
        <f t="shared" si="44"/>
        <v>0</v>
      </c>
      <c r="K83" s="129">
        <f t="shared" si="44"/>
        <v>0</v>
      </c>
      <c r="L83" s="129">
        <f t="shared" si="44"/>
        <v>0</v>
      </c>
      <c r="M83" s="129">
        <f t="shared" si="44"/>
        <v>674.85630000000003</v>
      </c>
      <c r="N83" s="129">
        <f t="shared" si="44"/>
        <v>674.85630000000003</v>
      </c>
      <c r="O83" s="129">
        <f t="shared" si="44"/>
        <v>0</v>
      </c>
      <c r="P83" s="345">
        <f t="shared" si="40"/>
        <v>78.01806936416186</v>
      </c>
      <c r="Q83" s="345"/>
      <c r="R83" s="345">
        <f t="shared" si="41"/>
        <v>78.01806936416186</v>
      </c>
      <c r="S83" s="130"/>
      <c r="T83" s="132"/>
      <c r="U83" s="132"/>
    </row>
    <row r="84" spans="1:21">
      <c r="A84" s="133">
        <v>1</v>
      </c>
      <c r="B84" s="267" t="s">
        <v>461</v>
      </c>
      <c r="C84" s="135">
        <f t="shared" si="7"/>
        <v>190</v>
      </c>
      <c r="D84" s="135"/>
      <c r="E84" s="135">
        <v>190</v>
      </c>
      <c r="F84" s="135">
        <f t="shared" si="8"/>
        <v>189.8563</v>
      </c>
      <c r="G84" s="135">
        <f t="shared" si="34"/>
        <v>0</v>
      </c>
      <c r="H84" s="135">
        <f t="shared" si="35"/>
        <v>189.8563</v>
      </c>
      <c r="I84" s="135">
        <f t="shared" si="36"/>
        <v>189.8563</v>
      </c>
      <c r="J84" s="135">
        <f t="shared" si="37"/>
        <v>0</v>
      </c>
      <c r="K84" s="135"/>
      <c r="L84" s="135"/>
      <c r="M84" s="135">
        <f t="shared" si="31"/>
        <v>189.8563</v>
      </c>
      <c r="N84" s="135">
        <v>189.8563</v>
      </c>
      <c r="O84" s="135"/>
      <c r="P84" s="346">
        <f t="shared" si="40"/>
        <v>99.924368421052634</v>
      </c>
      <c r="Q84" s="346"/>
      <c r="R84" s="346">
        <f t="shared" si="41"/>
        <v>99.924368421052634</v>
      </c>
      <c r="S84" s="130"/>
      <c r="T84" s="136"/>
      <c r="U84" s="136"/>
    </row>
    <row r="85" spans="1:21">
      <c r="A85" s="133">
        <v>2</v>
      </c>
      <c r="B85" s="267" t="s">
        <v>452</v>
      </c>
      <c r="C85" s="135">
        <f t="shared" ref="C85:C145" si="45">D85+E85</f>
        <v>190</v>
      </c>
      <c r="D85" s="135"/>
      <c r="E85" s="135">
        <v>190</v>
      </c>
      <c r="F85" s="135">
        <f t="shared" ref="F85:F153" si="46">G85+H85</f>
        <v>190</v>
      </c>
      <c r="G85" s="135">
        <f t="shared" si="34"/>
        <v>0</v>
      </c>
      <c r="H85" s="135">
        <f t="shared" si="35"/>
        <v>190</v>
      </c>
      <c r="I85" s="135">
        <f t="shared" si="36"/>
        <v>190</v>
      </c>
      <c r="J85" s="135">
        <f t="shared" si="37"/>
        <v>0</v>
      </c>
      <c r="K85" s="135"/>
      <c r="L85" s="135"/>
      <c r="M85" s="135">
        <f t="shared" si="31"/>
        <v>190</v>
      </c>
      <c r="N85" s="135">
        <v>190</v>
      </c>
      <c r="O85" s="135"/>
      <c r="P85" s="346">
        <f t="shared" si="40"/>
        <v>100</v>
      </c>
      <c r="Q85" s="346"/>
      <c r="R85" s="346">
        <f t="shared" si="41"/>
        <v>100</v>
      </c>
      <c r="S85" s="130"/>
      <c r="T85" s="136"/>
      <c r="U85" s="136"/>
    </row>
    <row r="86" spans="1:21">
      <c r="A86" s="133">
        <v>3</v>
      </c>
      <c r="B86" s="267" t="s">
        <v>249</v>
      </c>
      <c r="C86" s="135">
        <f t="shared" si="45"/>
        <v>15</v>
      </c>
      <c r="D86" s="135"/>
      <c r="E86" s="135">
        <v>15</v>
      </c>
      <c r="F86" s="135">
        <f t="shared" si="46"/>
        <v>15</v>
      </c>
      <c r="G86" s="135">
        <f t="shared" si="34"/>
        <v>0</v>
      </c>
      <c r="H86" s="135">
        <f t="shared" si="35"/>
        <v>15</v>
      </c>
      <c r="I86" s="135">
        <f t="shared" si="36"/>
        <v>15</v>
      </c>
      <c r="J86" s="135">
        <f t="shared" si="37"/>
        <v>0</v>
      </c>
      <c r="K86" s="135"/>
      <c r="L86" s="135"/>
      <c r="M86" s="135">
        <f t="shared" si="31"/>
        <v>15</v>
      </c>
      <c r="N86" s="135">
        <v>15</v>
      </c>
      <c r="O86" s="135"/>
      <c r="P86" s="346">
        <f t="shared" si="40"/>
        <v>100</v>
      </c>
      <c r="Q86" s="346"/>
      <c r="R86" s="346">
        <f t="shared" si="41"/>
        <v>100</v>
      </c>
      <c r="S86" s="130"/>
      <c r="T86" s="136"/>
      <c r="U86" s="136"/>
    </row>
    <row r="87" spans="1:21">
      <c r="A87" s="133">
        <v>4</v>
      </c>
      <c r="B87" s="267" t="s">
        <v>448</v>
      </c>
      <c r="C87" s="135">
        <f t="shared" si="45"/>
        <v>190</v>
      </c>
      <c r="D87" s="135"/>
      <c r="E87" s="135">
        <v>190</v>
      </c>
      <c r="F87" s="135">
        <f t="shared" si="46"/>
        <v>190</v>
      </c>
      <c r="G87" s="135">
        <f t="shared" si="34"/>
        <v>0</v>
      </c>
      <c r="H87" s="135">
        <f t="shared" si="35"/>
        <v>190</v>
      </c>
      <c r="I87" s="135">
        <f t="shared" si="36"/>
        <v>190</v>
      </c>
      <c r="J87" s="135">
        <f t="shared" si="37"/>
        <v>0</v>
      </c>
      <c r="K87" s="135"/>
      <c r="L87" s="135"/>
      <c r="M87" s="135">
        <f t="shared" si="31"/>
        <v>190</v>
      </c>
      <c r="N87" s="135">
        <v>190</v>
      </c>
      <c r="O87" s="135"/>
      <c r="P87" s="346">
        <f t="shared" si="40"/>
        <v>100</v>
      </c>
      <c r="Q87" s="346"/>
      <c r="R87" s="346">
        <f t="shared" si="41"/>
        <v>100</v>
      </c>
      <c r="S87" s="130"/>
      <c r="T87" s="136"/>
      <c r="U87" s="136"/>
    </row>
    <row r="88" spans="1:21">
      <c r="A88" s="133">
        <v>5</v>
      </c>
      <c r="B88" s="267" t="s">
        <v>462</v>
      </c>
      <c r="C88" s="135">
        <f t="shared" si="45"/>
        <v>15</v>
      </c>
      <c r="D88" s="135"/>
      <c r="E88" s="135">
        <v>15</v>
      </c>
      <c r="F88" s="135">
        <f t="shared" si="46"/>
        <v>15</v>
      </c>
      <c r="G88" s="135">
        <f t="shared" si="34"/>
        <v>0</v>
      </c>
      <c r="H88" s="135">
        <f t="shared" si="35"/>
        <v>15</v>
      </c>
      <c r="I88" s="135">
        <f t="shared" si="36"/>
        <v>15</v>
      </c>
      <c r="J88" s="135">
        <f t="shared" si="37"/>
        <v>0</v>
      </c>
      <c r="K88" s="135"/>
      <c r="L88" s="135"/>
      <c r="M88" s="135">
        <f t="shared" si="31"/>
        <v>15</v>
      </c>
      <c r="N88" s="135">
        <v>15</v>
      </c>
      <c r="O88" s="135"/>
      <c r="P88" s="346">
        <f t="shared" si="40"/>
        <v>100</v>
      </c>
      <c r="Q88" s="346"/>
      <c r="R88" s="346">
        <f t="shared" si="41"/>
        <v>100</v>
      </c>
      <c r="S88" s="130"/>
      <c r="T88" s="136"/>
      <c r="U88" s="136"/>
    </row>
    <row r="89" spans="1:21">
      <c r="A89" s="133">
        <v>6</v>
      </c>
      <c r="B89" s="267" t="s">
        <v>252</v>
      </c>
      <c r="C89" s="135">
        <f t="shared" si="45"/>
        <v>15</v>
      </c>
      <c r="D89" s="135"/>
      <c r="E89" s="135">
        <v>15</v>
      </c>
      <c r="F89" s="135">
        <f t="shared" si="46"/>
        <v>15</v>
      </c>
      <c r="G89" s="135">
        <f t="shared" si="34"/>
        <v>0</v>
      </c>
      <c r="H89" s="135">
        <f t="shared" si="35"/>
        <v>15</v>
      </c>
      <c r="I89" s="135">
        <f t="shared" si="36"/>
        <v>15</v>
      </c>
      <c r="J89" s="135">
        <f t="shared" si="37"/>
        <v>0</v>
      </c>
      <c r="K89" s="135"/>
      <c r="L89" s="135"/>
      <c r="M89" s="135">
        <f t="shared" si="31"/>
        <v>15</v>
      </c>
      <c r="N89" s="135">
        <v>15</v>
      </c>
      <c r="O89" s="135"/>
      <c r="P89" s="346">
        <f t="shared" si="40"/>
        <v>100</v>
      </c>
      <c r="Q89" s="346"/>
      <c r="R89" s="346">
        <f t="shared" si="41"/>
        <v>100</v>
      </c>
    </row>
    <row r="90" spans="1:21">
      <c r="A90" s="133">
        <v>7</v>
      </c>
      <c r="B90" s="267" t="s">
        <v>451</v>
      </c>
      <c r="C90" s="135">
        <f t="shared" si="45"/>
        <v>190</v>
      </c>
      <c r="D90" s="135"/>
      <c r="E90" s="135">
        <v>190</v>
      </c>
      <c r="F90" s="135">
        <f t="shared" si="46"/>
        <v>0</v>
      </c>
      <c r="G90" s="135">
        <f t="shared" si="34"/>
        <v>0</v>
      </c>
      <c r="H90" s="135">
        <f t="shared" si="35"/>
        <v>0</v>
      </c>
      <c r="I90" s="135">
        <f t="shared" si="36"/>
        <v>0</v>
      </c>
      <c r="J90" s="135">
        <f t="shared" si="37"/>
        <v>0</v>
      </c>
      <c r="K90" s="135"/>
      <c r="L90" s="135"/>
      <c r="M90" s="135">
        <f t="shared" si="31"/>
        <v>0</v>
      </c>
      <c r="N90" s="135"/>
      <c r="O90" s="135"/>
      <c r="P90" s="346">
        <f t="shared" si="40"/>
        <v>0</v>
      </c>
      <c r="Q90" s="346"/>
      <c r="R90" s="346">
        <f t="shared" si="41"/>
        <v>0</v>
      </c>
    </row>
    <row r="91" spans="1:21">
      <c r="A91" s="133">
        <v>8</v>
      </c>
      <c r="B91" s="267" t="s">
        <v>345</v>
      </c>
      <c r="C91" s="135">
        <f t="shared" si="45"/>
        <v>15</v>
      </c>
      <c r="D91" s="135"/>
      <c r="E91" s="135">
        <v>15</v>
      </c>
      <c r="F91" s="135">
        <f t="shared" si="46"/>
        <v>15</v>
      </c>
      <c r="G91" s="135">
        <f t="shared" si="34"/>
        <v>0</v>
      </c>
      <c r="H91" s="135">
        <f t="shared" si="35"/>
        <v>15</v>
      </c>
      <c r="I91" s="135">
        <f t="shared" si="36"/>
        <v>15</v>
      </c>
      <c r="J91" s="135">
        <f t="shared" si="37"/>
        <v>0</v>
      </c>
      <c r="K91" s="135"/>
      <c r="L91" s="135"/>
      <c r="M91" s="135">
        <f t="shared" si="31"/>
        <v>15</v>
      </c>
      <c r="N91" s="135">
        <v>15</v>
      </c>
      <c r="O91" s="135"/>
      <c r="P91" s="346">
        <f t="shared" si="40"/>
        <v>100</v>
      </c>
      <c r="Q91" s="346"/>
      <c r="R91" s="346">
        <f t="shared" si="41"/>
        <v>100</v>
      </c>
    </row>
    <row r="92" spans="1:21">
      <c r="A92" s="133">
        <v>9</v>
      </c>
      <c r="B92" s="267" t="s">
        <v>246</v>
      </c>
      <c r="C92" s="135">
        <f t="shared" si="45"/>
        <v>15</v>
      </c>
      <c r="D92" s="135"/>
      <c r="E92" s="135">
        <v>15</v>
      </c>
      <c r="F92" s="135">
        <f t="shared" si="46"/>
        <v>15</v>
      </c>
      <c r="G92" s="135">
        <f t="shared" si="34"/>
        <v>0</v>
      </c>
      <c r="H92" s="135">
        <f t="shared" si="35"/>
        <v>15</v>
      </c>
      <c r="I92" s="135">
        <f t="shared" si="36"/>
        <v>15</v>
      </c>
      <c r="J92" s="135">
        <f t="shared" si="37"/>
        <v>0</v>
      </c>
      <c r="K92" s="135"/>
      <c r="L92" s="135"/>
      <c r="M92" s="135">
        <f t="shared" si="31"/>
        <v>15</v>
      </c>
      <c r="N92" s="135">
        <v>15</v>
      </c>
      <c r="O92" s="135"/>
      <c r="P92" s="346">
        <f t="shared" si="40"/>
        <v>100</v>
      </c>
      <c r="Q92" s="346"/>
      <c r="R92" s="346">
        <f t="shared" si="41"/>
        <v>100</v>
      </c>
    </row>
    <row r="93" spans="1:21">
      <c r="A93" s="133">
        <v>10</v>
      </c>
      <c r="B93" s="267" t="s">
        <v>449</v>
      </c>
      <c r="C93" s="135">
        <f t="shared" si="45"/>
        <v>15</v>
      </c>
      <c r="D93" s="135"/>
      <c r="E93" s="135">
        <v>15</v>
      </c>
      <c r="F93" s="135">
        <f t="shared" si="46"/>
        <v>15</v>
      </c>
      <c r="G93" s="135">
        <f t="shared" si="34"/>
        <v>0</v>
      </c>
      <c r="H93" s="135">
        <f t="shared" si="35"/>
        <v>15</v>
      </c>
      <c r="I93" s="135">
        <f t="shared" si="36"/>
        <v>15</v>
      </c>
      <c r="J93" s="135">
        <f t="shared" si="37"/>
        <v>0</v>
      </c>
      <c r="K93" s="135"/>
      <c r="L93" s="135"/>
      <c r="M93" s="135">
        <f t="shared" si="31"/>
        <v>15</v>
      </c>
      <c r="N93" s="135">
        <v>15</v>
      </c>
      <c r="O93" s="135"/>
      <c r="P93" s="346">
        <f t="shared" si="40"/>
        <v>100</v>
      </c>
      <c r="Q93" s="346"/>
      <c r="R93" s="346">
        <f t="shared" si="41"/>
        <v>100</v>
      </c>
    </row>
    <row r="94" spans="1:21">
      <c r="A94" s="133">
        <v>11</v>
      </c>
      <c r="B94" s="267" t="s">
        <v>250</v>
      </c>
      <c r="C94" s="135">
        <f t="shared" si="45"/>
        <v>15</v>
      </c>
      <c r="D94" s="135"/>
      <c r="E94" s="135">
        <v>15</v>
      </c>
      <c r="F94" s="135">
        <f t="shared" si="46"/>
        <v>15</v>
      </c>
      <c r="G94" s="135">
        <f t="shared" si="34"/>
        <v>0</v>
      </c>
      <c r="H94" s="135">
        <f t="shared" si="35"/>
        <v>15</v>
      </c>
      <c r="I94" s="135">
        <f t="shared" si="36"/>
        <v>15</v>
      </c>
      <c r="J94" s="135">
        <f t="shared" si="37"/>
        <v>0</v>
      </c>
      <c r="K94" s="135"/>
      <c r="L94" s="135"/>
      <c r="M94" s="135">
        <f t="shared" si="31"/>
        <v>15</v>
      </c>
      <c r="N94" s="135">
        <v>15</v>
      </c>
      <c r="O94" s="135"/>
      <c r="P94" s="346">
        <f t="shared" si="40"/>
        <v>100</v>
      </c>
      <c r="Q94" s="346"/>
      <c r="R94" s="346">
        <f t="shared" si="41"/>
        <v>100</v>
      </c>
    </row>
    <row r="95" spans="1:21" s="131" customFormat="1" ht="57">
      <c r="A95" s="233" t="s">
        <v>56</v>
      </c>
      <c r="B95" s="268" t="s">
        <v>496</v>
      </c>
      <c r="C95" s="129">
        <f>C96+C99+C101+C126+C138+C146+C148+C150+C152</f>
        <v>64570.027999999991</v>
      </c>
      <c r="D95" s="129">
        <f>D96+D99+D101+D126+D138+D146+D148+D150+D152</f>
        <v>50070.027999999998</v>
      </c>
      <c r="E95" s="129">
        <f t="shared" ref="E95:O95" si="47">E96+E99+E101+E126+E138+E146+E148+E150+E152</f>
        <v>14500</v>
      </c>
      <c r="F95" s="129">
        <f t="shared" si="47"/>
        <v>25840.141922000003</v>
      </c>
      <c r="G95" s="129">
        <f t="shared" si="47"/>
        <v>18833.669198000003</v>
      </c>
      <c r="H95" s="129">
        <f t="shared" si="47"/>
        <v>7006.4727240000002</v>
      </c>
      <c r="I95" s="129">
        <f t="shared" si="47"/>
        <v>25840.141922000003</v>
      </c>
      <c r="J95" s="129">
        <f t="shared" si="47"/>
        <v>18833.669198000003</v>
      </c>
      <c r="K95" s="129">
        <f t="shared" si="47"/>
        <v>18833.669198000003</v>
      </c>
      <c r="L95" s="129">
        <f t="shared" si="47"/>
        <v>0</v>
      </c>
      <c r="M95" s="129">
        <f t="shared" si="47"/>
        <v>7006.4727240000002</v>
      </c>
      <c r="N95" s="129">
        <f t="shared" si="47"/>
        <v>7006.4727240000002</v>
      </c>
      <c r="O95" s="129">
        <f t="shared" si="47"/>
        <v>0</v>
      </c>
      <c r="P95" s="345">
        <f t="shared" si="40"/>
        <v>40.018786923865058</v>
      </c>
      <c r="Q95" s="345">
        <f t="shared" ref="Q95:Q139" si="48">G95/D95*100</f>
        <v>37.614656812255035</v>
      </c>
      <c r="R95" s="345">
        <f t="shared" si="41"/>
        <v>48.320501544827586</v>
      </c>
    </row>
    <row r="96" spans="1:21" ht="42.75">
      <c r="A96" s="269" t="s">
        <v>3</v>
      </c>
      <c r="B96" s="270" t="s">
        <v>463</v>
      </c>
      <c r="C96" s="129">
        <f>C97+C98</f>
        <v>5229</v>
      </c>
      <c r="D96" s="129">
        <f t="shared" ref="D96:O96" si="49">D97+D98</f>
        <v>3906</v>
      </c>
      <c r="E96" s="129">
        <f t="shared" si="49"/>
        <v>1323</v>
      </c>
      <c r="F96" s="129">
        <f t="shared" si="49"/>
        <v>3668.0637369999999</v>
      </c>
      <c r="G96" s="129">
        <f t="shared" si="49"/>
        <v>2371.35</v>
      </c>
      <c r="H96" s="129">
        <f t="shared" si="49"/>
        <v>1296.713737</v>
      </c>
      <c r="I96" s="129">
        <f t="shared" si="49"/>
        <v>3668.0637369999999</v>
      </c>
      <c r="J96" s="129">
        <f t="shared" si="49"/>
        <v>2371.35</v>
      </c>
      <c r="K96" s="129">
        <f t="shared" si="49"/>
        <v>2371.35</v>
      </c>
      <c r="L96" s="129">
        <f t="shared" si="49"/>
        <v>0</v>
      </c>
      <c r="M96" s="129">
        <f t="shared" si="49"/>
        <v>1296.713737</v>
      </c>
      <c r="N96" s="129">
        <f t="shared" si="49"/>
        <v>1296.713737</v>
      </c>
      <c r="O96" s="129">
        <f t="shared" si="49"/>
        <v>0</v>
      </c>
      <c r="P96" s="345">
        <f t="shared" si="40"/>
        <v>70.148474603174606</v>
      </c>
      <c r="Q96" s="345">
        <f t="shared" si="48"/>
        <v>60.710445468509974</v>
      </c>
      <c r="R96" s="345">
        <f t="shared" si="41"/>
        <v>98.013132048374914</v>
      </c>
    </row>
    <row r="97" spans="1:19">
      <c r="A97" s="264">
        <v>1</v>
      </c>
      <c r="B97" s="266" t="s">
        <v>460</v>
      </c>
      <c r="C97" s="235">
        <f>D97+E97</f>
        <v>3906</v>
      </c>
      <c r="D97" s="271">
        <v>3906</v>
      </c>
      <c r="E97" s="235"/>
      <c r="F97" s="235">
        <f t="shared" si="46"/>
        <v>2371.35</v>
      </c>
      <c r="G97" s="235">
        <f t="shared" si="34"/>
        <v>2371.35</v>
      </c>
      <c r="H97" s="235">
        <f t="shared" si="35"/>
        <v>0</v>
      </c>
      <c r="I97" s="235">
        <f t="shared" si="36"/>
        <v>2371.35</v>
      </c>
      <c r="J97" s="235">
        <f t="shared" si="37"/>
        <v>2371.35</v>
      </c>
      <c r="K97" s="271">
        <v>2371.35</v>
      </c>
      <c r="L97" s="135"/>
      <c r="M97" s="135">
        <f t="shared" si="31"/>
        <v>0</v>
      </c>
      <c r="N97" s="135"/>
      <c r="O97" s="135"/>
      <c r="P97" s="346">
        <f t="shared" si="40"/>
        <v>60.710445468509974</v>
      </c>
      <c r="Q97" s="346">
        <f t="shared" si="48"/>
        <v>60.710445468509974</v>
      </c>
      <c r="R97" s="346"/>
    </row>
    <row r="98" spans="1:19">
      <c r="A98" s="264">
        <v>2</v>
      </c>
      <c r="B98" s="266" t="s">
        <v>231</v>
      </c>
      <c r="C98" s="235">
        <f>D98+E98</f>
        <v>1323</v>
      </c>
      <c r="D98" s="271"/>
      <c r="E98" s="235">
        <v>1323</v>
      </c>
      <c r="F98" s="235">
        <f t="shared" si="46"/>
        <v>1296.713737</v>
      </c>
      <c r="G98" s="235">
        <f t="shared" ref="G98" si="50">J98</f>
        <v>0</v>
      </c>
      <c r="H98" s="235">
        <f t="shared" ref="H98" si="51">M98</f>
        <v>1296.713737</v>
      </c>
      <c r="I98" s="235">
        <f t="shared" si="36"/>
        <v>1296.713737</v>
      </c>
      <c r="J98" s="235"/>
      <c r="K98" s="271"/>
      <c r="L98" s="135"/>
      <c r="M98" s="135">
        <f t="shared" si="31"/>
        <v>1296.713737</v>
      </c>
      <c r="N98" s="135">
        <v>1296.713737</v>
      </c>
      <c r="O98" s="135"/>
      <c r="P98" s="346">
        <f t="shared" si="40"/>
        <v>98.013132048374914</v>
      </c>
      <c r="Q98" s="346"/>
      <c r="R98" s="346">
        <f t="shared" si="41"/>
        <v>98.013132048374914</v>
      </c>
    </row>
    <row r="99" spans="1:19" ht="42.75">
      <c r="A99" s="269" t="s">
        <v>31</v>
      </c>
      <c r="B99" s="270" t="s">
        <v>464</v>
      </c>
      <c r="C99" s="129">
        <f>C100</f>
        <v>10167</v>
      </c>
      <c r="D99" s="129">
        <f t="shared" ref="D99:O99" si="52">D100</f>
        <v>10167</v>
      </c>
      <c r="E99" s="129">
        <f t="shared" si="52"/>
        <v>0</v>
      </c>
      <c r="F99" s="129">
        <f t="shared" si="52"/>
        <v>2104.9369999999999</v>
      </c>
      <c r="G99" s="129">
        <f t="shared" si="52"/>
        <v>2104.9369999999999</v>
      </c>
      <c r="H99" s="129">
        <f t="shared" si="52"/>
        <v>0</v>
      </c>
      <c r="I99" s="129">
        <f t="shared" si="52"/>
        <v>2104.9369999999999</v>
      </c>
      <c r="J99" s="129">
        <f t="shared" si="52"/>
        <v>2104.9369999999999</v>
      </c>
      <c r="K99" s="129">
        <f t="shared" si="52"/>
        <v>2104.9369999999999</v>
      </c>
      <c r="L99" s="129">
        <f t="shared" si="52"/>
        <v>0</v>
      </c>
      <c r="M99" s="129">
        <f t="shared" si="52"/>
        <v>0</v>
      </c>
      <c r="N99" s="129">
        <f t="shared" si="52"/>
        <v>0</v>
      </c>
      <c r="O99" s="129">
        <f t="shared" si="52"/>
        <v>0</v>
      </c>
      <c r="P99" s="345">
        <f t="shared" si="40"/>
        <v>20.703619553457262</v>
      </c>
      <c r="Q99" s="345">
        <f t="shared" si="48"/>
        <v>20.703619553457262</v>
      </c>
      <c r="R99" s="345"/>
      <c r="S99" s="131"/>
    </row>
    <row r="100" spans="1:19">
      <c r="A100" s="264">
        <v>1</v>
      </c>
      <c r="B100" s="266" t="s">
        <v>460</v>
      </c>
      <c r="C100" s="271">
        <f>D100+E100</f>
        <v>10167</v>
      </c>
      <c r="D100" s="271">
        <v>10167</v>
      </c>
      <c r="E100" s="235"/>
      <c r="F100" s="235">
        <f t="shared" si="46"/>
        <v>2104.9369999999999</v>
      </c>
      <c r="G100" s="235">
        <f t="shared" si="34"/>
        <v>2104.9369999999999</v>
      </c>
      <c r="H100" s="235">
        <f t="shared" si="35"/>
        <v>0</v>
      </c>
      <c r="I100" s="235">
        <f t="shared" si="36"/>
        <v>2104.9369999999999</v>
      </c>
      <c r="J100" s="235">
        <f t="shared" si="37"/>
        <v>2104.9369999999999</v>
      </c>
      <c r="K100" s="235">
        <v>2104.9369999999999</v>
      </c>
      <c r="L100" s="135"/>
      <c r="M100" s="135">
        <f t="shared" si="31"/>
        <v>0</v>
      </c>
      <c r="N100" s="135"/>
      <c r="O100" s="135"/>
      <c r="P100" s="346">
        <f t="shared" si="40"/>
        <v>20.703619553457262</v>
      </c>
      <c r="Q100" s="346">
        <f t="shared" si="48"/>
        <v>20.703619553457262</v>
      </c>
      <c r="R100" s="346"/>
    </row>
    <row r="101" spans="1:19" ht="85.5">
      <c r="A101" s="272" t="s">
        <v>35</v>
      </c>
      <c r="B101" s="273" t="s">
        <v>497</v>
      </c>
      <c r="C101" s="274">
        <f>C102+C114</f>
        <v>7751</v>
      </c>
      <c r="D101" s="274">
        <f t="shared" ref="D101:O101" si="53">D102+D114</f>
        <v>0</v>
      </c>
      <c r="E101" s="274">
        <f t="shared" si="53"/>
        <v>7751</v>
      </c>
      <c r="F101" s="274">
        <f t="shared" si="53"/>
        <v>3224.5338200000001</v>
      </c>
      <c r="G101" s="274">
        <f t="shared" si="53"/>
        <v>0</v>
      </c>
      <c r="H101" s="274">
        <f t="shared" si="53"/>
        <v>3224.5338200000001</v>
      </c>
      <c r="I101" s="274">
        <f t="shared" si="53"/>
        <v>3224.5338200000001</v>
      </c>
      <c r="J101" s="274">
        <f t="shared" si="53"/>
        <v>0</v>
      </c>
      <c r="K101" s="274">
        <f t="shared" si="53"/>
        <v>0</v>
      </c>
      <c r="L101" s="274">
        <f t="shared" si="53"/>
        <v>0</v>
      </c>
      <c r="M101" s="274">
        <f t="shared" si="53"/>
        <v>3224.5338200000001</v>
      </c>
      <c r="N101" s="274">
        <f t="shared" si="53"/>
        <v>3224.5338200000001</v>
      </c>
      <c r="O101" s="274">
        <f t="shared" si="53"/>
        <v>0</v>
      </c>
      <c r="P101" s="345">
        <f t="shared" si="40"/>
        <v>41.601520061927495</v>
      </c>
      <c r="Q101" s="345"/>
      <c r="R101" s="345">
        <f t="shared" si="41"/>
        <v>41.601520061927495</v>
      </c>
    </row>
    <row r="102" spans="1:19" s="131" customFormat="1">
      <c r="A102" s="275"/>
      <c r="B102" s="276" t="s">
        <v>473</v>
      </c>
      <c r="C102" s="274">
        <f>SUM(C103:C113)</f>
        <v>3592.0030000000002</v>
      </c>
      <c r="D102" s="274">
        <f t="shared" ref="D102:O102" si="54">SUM(D103:D113)</f>
        <v>0</v>
      </c>
      <c r="E102" s="274">
        <f t="shared" si="54"/>
        <v>3592.0030000000002</v>
      </c>
      <c r="F102" s="274">
        <f t="shared" si="54"/>
        <v>3224.5338200000001</v>
      </c>
      <c r="G102" s="274">
        <f t="shared" si="54"/>
        <v>0</v>
      </c>
      <c r="H102" s="274">
        <f t="shared" si="54"/>
        <v>3224.5338200000001</v>
      </c>
      <c r="I102" s="274">
        <f t="shared" si="54"/>
        <v>3224.5338200000001</v>
      </c>
      <c r="J102" s="274">
        <f t="shared" si="54"/>
        <v>0</v>
      </c>
      <c r="K102" s="274">
        <f t="shared" si="54"/>
        <v>0</v>
      </c>
      <c r="L102" s="274">
        <f t="shared" si="54"/>
        <v>0</v>
      </c>
      <c r="M102" s="274">
        <f t="shared" si="54"/>
        <v>3224.5338200000001</v>
      </c>
      <c r="N102" s="274">
        <f t="shared" si="54"/>
        <v>3224.5338200000001</v>
      </c>
      <c r="O102" s="274">
        <f t="shared" si="54"/>
        <v>0</v>
      </c>
      <c r="P102" s="345">
        <f t="shared" si="40"/>
        <v>89.769797519656862</v>
      </c>
      <c r="Q102" s="345"/>
      <c r="R102" s="345">
        <f t="shared" si="41"/>
        <v>89.769797519656862</v>
      </c>
    </row>
    <row r="103" spans="1:19">
      <c r="A103" s="277">
        <v>1</v>
      </c>
      <c r="B103" s="267" t="s">
        <v>461</v>
      </c>
      <c r="C103" s="271">
        <f t="shared" ref="C103:C125" si="55">D103+E103</f>
        <v>327.399</v>
      </c>
      <c r="D103" s="271"/>
      <c r="E103" s="235">
        <v>327.399</v>
      </c>
      <c r="F103" s="235">
        <f t="shared" ref="F103:F125" si="56">G103+H103</f>
        <v>321.66676000000001</v>
      </c>
      <c r="G103" s="235">
        <f t="shared" ref="G103:G125" si="57">J103</f>
        <v>0</v>
      </c>
      <c r="H103" s="235">
        <f t="shared" ref="H103:H125" si="58">M103</f>
        <v>321.66676000000001</v>
      </c>
      <c r="I103" s="235">
        <f t="shared" ref="I103:I125" si="59">J103+M103</f>
        <v>321.66676000000001</v>
      </c>
      <c r="J103" s="235">
        <f t="shared" ref="J103:J125" si="60">K103+L103</f>
        <v>0</v>
      </c>
      <c r="K103" s="235"/>
      <c r="L103" s="135"/>
      <c r="M103" s="135">
        <f t="shared" si="31"/>
        <v>321.66676000000001</v>
      </c>
      <c r="N103" s="135">
        <v>321.66676000000001</v>
      </c>
      <c r="O103" s="135"/>
      <c r="P103" s="346">
        <f t="shared" si="40"/>
        <v>98.249157755521551</v>
      </c>
      <c r="Q103" s="346"/>
      <c r="R103" s="346">
        <f t="shared" si="41"/>
        <v>98.249157755521551</v>
      </c>
    </row>
    <row r="104" spans="1:19">
      <c r="A104" s="277">
        <v>2</v>
      </c>
      <c r="B104" s="267" t="s">
        <v>452</v>
      </c>
      <c r="C104" s="271">
        <f t="shared" si="55"/>
        <v>432.108</v>
      </c>
      <c r="D104" s="271"/>
      <c r="E104" s="235">
        <v>432.108</v>
      </c>
      <c r="F104" s="235">
        <f t="shared" si="56"/>
        <v>398.96174999999999</v>
      </c>
      <c r="G104" s="235">
        <f t="shared" si="57"/>
        <v>0</v>
      </c>
      <c r="H104" s="235">
        <f t="shared" si="58"/>
        <v>398.96174999999999</v>
      </c>
      <c r="I104" s="235">
        <f t="shared" si="59"/>
        <v>398.96174999999999</v>
      </c>
      <c r="J104" s="235">
        <f t="shared" si="60"/>
        <v>0</v>
      </c>
      <c r="K104" s="235"/>
      <c r="L104" s="135"/>
      <c r="M104" s="135">
        <f t="shared" si="31"/>
        <v>398.96174999999999</v>
      </c>
      <c r="N104" s="135">
        <v>398.96174999999999</v>
      </c>
      <c r="O104" s="135"/>
      <c r="P104" s="346">
        <f t="shared" si="40"/>
        <v>92.329174650781738</v>
      </c>
      <c r="Q104" s="346"/>
      <c r="R104" s="346">
        <f t="shared" si="41"/>
        <v>92.329174650781738</v>
      </c>
    </row>
    <row r="105" spans="1:19">
      <c r="A105" s="277">
        <v>3</v>
      </c>
      <c r="B105" s="267" t="s">
        <v>249</v>
      </c>
      <c r="C105" s="271">
        <f t="shared" si="55"/>
        <v>365.75</v>
      </c>
      <c r="D105" s="271"/>
      <c r="E105" s="235">
        <v>365.75</v>
      </c>
      <c r="F105" s="235">
        <f t="shared" si="56"/>
        <v>322.75319999999999</v>
      </c>
      <c r="G105" s="235">
        <f t="shared" si="57"/>
        <v>0</v>
      </c>
      <c r="H105" s="235">
        <f t="shared" si="58"/>
        <v>322.75319999999999</v>
      </c>
      <c r="I105" s="235">
        <f t="shared" si="59"/>
        <v>322.75319999999999</v>
      </c>
      <c r="J105" s="235">
        <f t="shared" si="60"/>
        <v>0</v>
      </c>
      <c r="K105" s="235"/>
      <c r="L105" s="135"/>
      <c r="M105" s="135">
        <f t="shared" si="31"/>
        <v>322.75319999999999</v>
      </c>
      <c r="N105" s="135">
        <v>322.75319999999999</v>
      </c>
      <c r="O105" s="135"/>
      <c r="P105" s="346">
        <f t="shared" si="40"/>
        <v>88.244210526315797</v>
      </c>
      <c r="Q105" s="346"/>
      <c r="R105" s="346">
        <f t="shared" si="41"/>
        <v>88.244210526315797</v>
      </c>
    </row>
    <row r="106" spans="1:19">
      <c r="A106" s="277">
        <v>4</v>
      </c>
      <c r="B106" s="267" t="s">
        <v>448</v>
      </c>
      <c r="C106" s="271">
        <f t="shared" si="55"/>
        <v>387.27699999999999</v>
      </c>
      <c r="D106" s="271"/>
      <c r="E106" s="235">
        <v>387.27699999999999</v>
      </c>
      <c r="F106" s="235">
        <f t="shared" si="56"/>
        <v>347.49880000000002</v>
      </c>
      <c r="G106" s="235">
        <f t="shared" si="57"/>
        <v>0</v>
      </c>
      <c r="H106" s="235">
        <f t="shared" si="58"/>
        <v>347.49880000000002</v>
      </c>
      <c r="I106" s="235">
        <f t="shared" si="59"/>
        <v>347.49880000000002</v>
      </c>
      <c r="J106" s="235">
        <f t="shared" si="60"/>
        <v>0</v>
      </c>
      <c r="K106" s="235"/>
      <c r="L106" s="135"/>
      <c r="M106" s="135">
        <f t="shared" si="31"/>
        <v>347.49880000000002</v>
      </c>
      <c r="N106" s="135">
        <v>347.49880000000002</v>
      </c>
      <c r="O106" s="135"/>
      <c r="P106" s="346">
        <f t="shared" si="40"/>
        <v>89.728747124151454</v>
      </c>
      <c r="Q106" s="346"/>
      <c r="R106" s="346">
        <f t="shared" si="41"/>
        <v>89.728747124151454</v>
      </c>
    </row>
    <row r="107" spans="1:19">
      <c r="A107" s="277">
        <v>5</v>
      </c>
      <c r="B107" s="267" t="s">
        <v>462</v>
      </c>
      <c r="C107" s="271">
        <f t="shared" si="55"/>
        <v>418.41800000000001</v>
      </c>
      <c r="D107" s="271"/>
      <c r="E107" s="235">
        <v>418.41800000000001</v>
      </c>
      <c r="F107" s="235">
        <f t="shared" si="56"/>
        <v>357.47399999999999</v>
      </c>
      <c r="G107" s="235">
        <f t="shared" si="57"/>
        <v>0</v>
      </c>
      <c r="H107" s="235">
        <f t="shared" si="58"/>
        <v>357.47399999999999</v>
      </c>
      <c r="I107" s="235">
        <f t="shared" si="59"/>
        <v>357.47399999999999</v>
      </c>
      <c r="J107" s="235">
        <f t="shared" si="60"/>
        <v>0</v>
      </c>
      <c r="K107" s="235"/>
      <c r="L107" s="135"/>
      <c r="M107" s="135">
        <f t="shared" si="31"/>
        <v>357.47399999999999</v>
      </c>
      <c r="N107" s="135">
        <v>357.47399999999999</v>
      </c>
      <c r="O107" s="135"/>
      <c r="P107" s="346">
        <f t="shared" si="40"/>
        <v>85.434661032747144</v>
      </c>
      <c r="Q107" s="346"/>
      <c r="R107" s="346">
        <f t="shared" si="41"/>
        <v>85.434661032747144</v>
      </c>
    </row>
    <row r="108" spans="1:19">
      <c r="A108" s="277">
        <v>6</v>
      </c>
      <c r="B108" s="267" t="s">
        <v>252</v>
      </c>
      <c r="C108" s="271">
        <f t="shared" si="55"/>
        <v>271.7</v>
      </c>
      <c r="D108" s="271"/>
      <c r="E108" s="235">
        <v>271.7</v>
      </c>
      <c r="F108" s="235">
        <f t="shared" si="56"/>
        <v>265.17500000000001</v>
      </c>
      <c r="G108" s="235">
        <f t="shared" si="57"/>
        <v>0</v>
      </c>
      <c r="H108" s="235">
        <f t="shared" si="58"/>
        <v>265.17500000000001</v>
      </c>
      <c r="I108" s="235">
        <f t="shared" si="59"/>
        <v>265.17500000000001</v>
      </c>
      <c r="J108" s="235">
        <f t="shared" si="60"/>
        <v>0</v>
      </c>
      <c r="K108" s="235"/>
      <c r="L108" s="135"/>
      <c r="M108" s="135">
        <f t="shared" si="31"/>
        <v>265.17500000000001</v>
      </c>
      <c r="N108" s="135">
        <v>265.17500000000001</v>
      </c>
      <c r="O108" s="135"/>
      <c r="P108" s="346">
        <f t="shared" si="40"/>
        <v>97.59845417740155</v>
      </c>
      <c r="Q108" s="346"/>
      <c r="R108" s="346">
        <f t="shared" si="41"/>
        <v>97.59845417740155</v>
      </c>
    </row>
    <row r="109" spans="1:19">
      <c r="A109" s="277">
        <v>7</v>
      </c>
      <c r="B109" s="267" t="s">
        <v>451</v>
      </c>
      <c r="C109" s="271">
        <f t="shared" si="55"/>
        <v>262.92200000000003</v>
      </c>
      <c r="D109" s="271"/>
      <c r="E109" s="235">
        <v>262.92200000000003</v>
      </c>
      <c r="F109" s="235">
        <f t="shared" si="56"/>
        <v>224.71600000000001</v>
      </c>
      <c r="G109" s="235">
        <f t="shared" si="57"/>
        <v>0</v>
      </c>
      <c r="H109" s="235">
        <f t="shared" si="58"/>
        <v>224.71600000000001</v>
      </c>
      <c r="I109" s="235">
        <f t="shared" si="59"/>
        <v>224.71600000000001</v>
      </c>
      <c r="J109" s="235">
        <f t="shared" si="60"/>
        <v>0</v>
      </c>
      <c r="K109" s="235"/>
      <c r="L109" s="135"/>
      <c r="M109" s="135">
        <f t="shared" si="31"/>
        <v>224.71600000000001</v>
      </c>
      <c r="N109" s="135">
        <v>224.71600000000001</v>
      </c>
      <c r="O109" s="135"/>
      <c r="P109" s="346">
        <f t="shared" si="40"/>
        <v>85.468694137424777</v>
      </c>
      <c r="Q109" s="346"/>
      <c r="R109" s="346">
        <f t="shared" si="41"/>
        <v>85.468694137424777</v>
      </c>
    </row>
    <row r="110" spans="1:19">
      <c r="A110" s="277">
        <v>8</v>
      </c>
      <c r="B110" s="267" t="s">
        <v>244</v>
      </c>
      <c r="C110" s="271">
        <f t="shared" si="55"/>
        <v>400.23500000000001</v>
      </c>
      <c r="D110" s="271"/>
      <c r="E110" s="235">
        <v>400.23500000000001</v>
      </c>
      <c r="F110" s="235">
        <f t="shared" si="56"/>
        <v>350.55216999999999</v>
      </c>
      <c r="G110" s="235">
        <f t="shared" si="57"/>
        <v>0</v>
      </c>
      <c r="H110" s="235">
        <f t="shared" si="58"/>
        <v>350.55216999999999</v>
      </c>
      <c r="I110" s="235">
        <f t="shared" si="59"/>
        <v>350.55216999999999</v>
      </c>
      <c r="J110" s="235">
        <f t="shared" si="60"/>
        <v>0</v>
      </c>
      <c r="K110" s="235"/>
      <c r="L110" s="135"/>
      <c r="M110" s="135">
        <f t="shared" si="31"/>
        <v>350.55216999999999</v>
      </c>
      <c r="N110" s="135">
        <v>350.55216999999999</v>
      </c>
      <c r="O110" s="135"/>
      <c r="P110" s="346">
        <f t="shared" si="40"/>
        <v>87.586585381088597</v>
      </c>
      <c r="Q110" s="346"/>
      <c r="R110" s="346">
        <f t="shared" si="41"/>
        <v>87.586585381088597</v>
      </c>
    </row>
    <row r="111" spans="1:19">
      <c r="A111" s="277">
        <v>9</v>
      </c>
      <c r="B111" s="267" t="s">
        <v>246</v>
      </c>
      <c r="C111" s="271">
        <f t="shared" si="55"/>
        <v>361.88400000000001</v>
      </c>
      <c r="D111" s="271"/>
      <c r="E111" s="235">
        <v>361.88400000000001</v>
      </c>
      <c r="F111" s="235">
        <f t="shared" si="56"/>
        <v>333.67613999999998</v>
      </c>
      <c r="G111" s="235">
        <f t="shared" si="57"/>
        <v>0</v>
      </c>
      <c r="H111" s="235">
        <f t="shared" si="58"/>
        <v>333.67613999999998</v>
      </c>
      <c r="I111" s="235">
        <f t="shared" si="59"/>
        <v>333.67613999999998</v>
      </c>
      <c r="J111" s="235">
        <f t="shared" si="60"/>
        <v>0</v>
      </c>
      <c r="K111" s="235"/>
      <c r="L111" s="135"/>
      <c r="M111" s="135">
        <f t="shared" si="31"/>
        <v>333.67613999999998</v>
      </c>
      <c r="N111" s="135">
        <v>333.67613999999998</v>
      </c>
      <c r="O111" s="135"/>
      <c r="P111" s="346">
        <f t="shared" si="40"/>
        <v>92.20527572371256</v>
      </c>
      <c r="Q111" s="346"/>
      <c r="R111" s="346">
        <f t="shared" si="41"/>
        <v>92.20527572371256</v>
      </c>
    </row>
    <row r="112" spans="1:19">
      <c r="A112" s="277">
        <v>10</v>
      </c>
      <c r="B112" s="267" t="s">
        <v>449</v>
      </c>
      <c r="C112" s="271">
        <f t="shared" si="55"/>
        <v>50.81</v>
      </c>
      <c r="D112" s="271"/>
      <c r="E112" s="235">
        <v>50.81</v>
      </c>
      <c r="F112" s="235">
        <f t="shared" si="56"/>
        <v>50.81</v>
      </c>
      <c r="G112" s="235">
        <f t="shared" si="57"/>
        <v>0</v>
      </c>
      <c r="H112" s="235">
        <f t="shared" si="58"/>
        <v>50.81</v>
      </c>
      <c r="I112" s="235">
        <f t="shared" si="59"/>
        <v>50.81</v>
      </c>
      <c r="J112" s="235">
        <f t="shared" si="60"/>
        <v>0</v>
      </c>
      <c r="K112" s="235"/>
      <c r="L112" s="135"/>
      <c r="M112" s="135">
        <f t="shared" si="31"/>
        <v>50.81</v>
      </c>
      <c r="N112" s="135">
        <v>50.81</v>
      </c>
      <c r="O112" s="135"/>
      <c r="P112" s="346">
        <f t="shared" si="40"/>
        <v>100</v>
      </c>
      <c r="Q112" s="346"/>
      <c r="R112" s="346">
        <f t="shared" si="41"/>
        <v>100</v>
      </c>
    </row>
    <row r="113" spans="1:18">
      <c r="A113" s="277">
        <v>11</v>
      </c>
      <c r="B113" s="267" t="s">
        <v>250</v>
      </c>
      <c r="C113" s="271">
        <f t="shared" si="55"/>
        <v>313.5</v>
      </c>
      <c r="D113" s="271"/>
      <c r="E113" s="235">
        <v>313.5</v>
      </c>
      <c r="F113" s="235">
        <f t="shared" si="56"/>
        <v>251.25</v>
      </c>
      <c r="G113" s="235">
        <f t="shared" si="57"/>
        <v>0</v>
      </c>
      <c r="H113" s="235">
        <f t="shared" si="58"/>
        <v>251.25</v>
      </c>
      <c r="I113" s="235">
        <f t="shared" si="59"/>
        <v>251.25</v>
      </c>
      <c r="J113" s="235">
        <f t="shared" si="60"/>
        <v>0</v>
      </c>
      <c r="K113" s="235"/>
      <c r="L113" s="135"/>
      <c r="M113" s="135">
        <f t="shared" si="31"/>
        <v>251.25</v>
      </c>
      <c r="N113" s="135">
        <v>251.25</v>
      </c>
      <c r="O113" s="135"/>
      <c r="P113" s="346">
        <f t="shared" si="40"/>
        <v>80.143540669856463</v>
      </c>
      <c r="Q113" s="346"/>
      <c r="R113" s="346">
        <f t="shared" si="41"/>
        <v>80.143540669856463</v>
      </c>
    </row>
    <row r="114" spans="1:18">
      <c r="A114" s="275"/>
      <c r="B114" s="276" t="s">
        <v>498</v>
      </c>
      <c r="C114" s="274">
        <f>SUM(C115:C125)</f>
        <v>4158.9970000000003</v>
      </c>
      <c r="D114" s="274">
        <f t="shared" ref="D114:O114" si="61">SUM(D115:D125)</f>
        <v>0</v>
      </c>
      <c r="E114" s="274">
        <f t="shared" si="61"/>
        <v>4158.9970000000003</v>
      </c>
      <c r="F114" s="274">
        <f t="shared" si="61"/>
        <v>0</v>
      </c>
      <c r="G114" s="274">
        <f t="shared" si="61"/>
        <v>0</v>
      </c>
      <c r="H114" s="274">
        <f t="shared" si="61"/>
        <v>0</v>
      </c>
      <c r="I114" s="274">
        <f t="shared" si="61"/>
        <v>0</v>
      </c>
      <c r="J114" s="274">
        <f t="shared" si="61"/>
        <v>0</v>
      </c>
      <c r="K114" s="274">
        <f t="shared" si="61"/>
        <v>0</v>
      </c>
      <c r="L114" s="274">
        <f t="shared" si="61"/>
        <v>0</v>
      </c>
      <c r="M114" s="274">
        <f t="shared" si="61"/>
        <v>0</v>
      </c>
      <c r="N114" s="274">
        <f t="shared" si="61"/>
        <v>0</v>
      </c>
      <c r="O114" s="274">
        <f t="shared" si="61"/>
        <v>0</v>
      </c>
      <c r="P114" s="346">
        <f t="shared" si="40"/>
        <v>0</v>
      </c>
      <c r="Q114" s="346"/>
      <c r="R114" s="346">
        <f t="shared" si="41"/>
        <v>0</v>
      </c>
    </row>
    <row r="115" spans="1:18">
      <c r="A115" s="277">
        <v>1</v>
      </c>
      <c r="B115" s="267" t="s">
        <v>461</v>
      </c>
      <c r="C115" s="271">
        <f t="shared" si="55"/>
        <v>360.12299999999999</v>
      </c>
      <c r="D115" s="271"/>
      <c r="E115" s="235">
        <v>360.12299999999999</v>
      </c>
      <c r="F115" s="235">
        <f t="shared" si="56"/>
        <v>0</v>
      </c>
      <c r="G115" s="235">
        <f t="shared" si="57"/>
        <v>0</v>
      </c>
      <c r="H115" s="235">
        <f t="shared" si="58"/>
        <v>0</v>
      </c>
      <c r="I115" s="235">
        <f t="shared" si="59"/>
        <v>0</v>
      </c>
      <c r="J115" s="235">
        <f t="shared" si="60"/>
        <v>0</v>
      </c>
      <c r="K115" s="235"/>
      <c r="L115" s="135"/>
      <c r="M115" s="135">
        <f t="shared" si="31"/>
        <v>0</v>
      </c>
      <c r="N115" s="135"/>
      <c r="O115" s="135"/>
      <c r="P115" s="346">
        <f t="shared" si="40"/>
        <v>0</v>
      </c>
      <c r="Q115" s="346"/>
      <c r="R115" s="346">
        <f t="shared" si="41"/>
        <v>0</v>
      </c>
    </row>
    <row r="116" spans="1:18">
      <c r="A116" s="277">
        <v>2</v>
      </c>
      <c r="B116" s="267" t="s">
        <v>452</v>
      </c>
      <c r="C116" s="271">
        <f t="shared" si="55"/>
        <v>381.47800000000001</v>
      </c>
      <c r="D116" s="271"/>
      <c r="E116" s="235">
        <v>381.47800000000001</v>
      </c>
      <c r="F116" s="235">
        <f t="shared" si="56"/>
        <v>0</v>
      </c>
      <c r="G116" s="235">
        <f t="shared" si="57"/>
        <v>0</v>
      </c>
      <c r="H116" s="235">
        <f t="shared" si="58"/>
        <v>0</v>
      </c>
      <c r="I116" s="235">
        <f t="shared" si="59"/>
        <v>0</v>
      </c>
      <c r="J116" s="235">
        <f t="shared" si="60"/>
        <v>0</v>
      </c>
      <c r="K116" s="235"/>
      <c r="L116" s="135"/>
      <c r="M116" s="135">
        <f t="shared" si="31"/>
        <v>0</v>
      </c>
      <c r="N116" s="135"/>
      <c r="O116" s="135"/>
      <c r="P116" s="346">
        <f t="shared" si="40"/>
        <v>0</v>
      </c>
      <c r="Q116" s="346"/>
      <c r="R116" s="346">
        <f t="shared" si="41"/>
        <v>0</v>
      </c>
    </row>
    <row r="117" spans="1:18">
      <c r="A117" s="277">
        <v>3</v>
      </c>
      <c r="B117" s="267" t="s">
        <v>249</v>
      </c>
      <c r="C117" s="271">
        <f t="shared" si="55"/>
        <v>363.62299999999999</v>
      </c>
      <c r="D117" s="271"/>
      <c r="E117" s="235">
        <v>363.62299999999999</v>
      </c>
      <c r="F117" s="235">
        <f t="shared" si="56"/>
        <v>0</v>
      </c>
      <c r="G117" s="235">
        <f t="shared" si="57"/>
        <v>0</v>
      </c>
      <c r="H117" s="235">
        <f t="shared" si="58"/>
        <v>0</v>
      </c>
      <c r="I117" s="235">
        <f t="shared" si="59"/>
        <v>0</v>
      </c>
      <c r="J117" s="235">
        <f t="shared" si="60"/>
        <v>0</v>
      </c>
      <c r="K117" s="235"/>
      <c r="L117" s="135"/>
      <c r="M117" s="135">
        <f t="shared" si="31"/>
        <v>0</v>
      </c>
      <c r="N117" s="135"/>
      <c r="O117" s="135"/>
      <c r="P117" s="346">
        <f t="shared" si="40"/>
        <v>0</v>
      </c>
      <c r="Q117" s="346"/>
      <c r="R117" s="346">
        <f t="shared" si="41"/>
        <v>0</v>
      </c>
    </row>
    <row r="118" spans="1:18">
      <c r="A118" s="277">
        <v>4</v>
      </c>
      <c r="B118" s="267" t="s">
        <v>448</v>
      </c>
      <c r="C118" s="271">
        <f t="shared" si="55"/>
        <v>356.72500000000002</v>
      </c>
      <c r="D118" s="271"/>
      <c r="E118" s="235">
        <v>356.72500000000002</v>
      </c>
      <c r="F118" s="235">
        <f t="shared" si="56"/>
        <v>0</v>
      </c>
      <c r="G118" s="235">
        <f t="shared" si="57"/>
        <v>0</v>
      </c>
      <c r="H118" s="235">
        <f t="shared" si="58"/>
        <v>0</v>
      </c>
      <c r="I118" s="235">
        <f t="shared" si="59"/>
        <v>0</v>
      </c>
      <c r="J118" s="235">
        <f t="shared" si="60"/>
        <v>0</v>
      </c>
      <c r="K118" s="235"/>
      <c r="L118" s="135"/>
      <c r="M118" s="135">
        <f t="shared" si="31"/>
        <v>0</v>
      </c>
      <c r="N118" s="135"/>
      <c r="O118" s="135"/>
      <c r="P118" s="346">
        <f t="shared" si="40"/>
        <v>0</v>
      </c>
      <c r="Q118" s="346"/>
      <c r="R118" s="346">
        <f t="shared" si="41"/>
        <v>0</v>
      </c>
    </row>
    <row r="119" spans="1:18">
      <c r="A119" s="277">
        <v>5</v>
      </c>
      <c r="B119" s="267" t="s">
        <v>462</v>
      </c>
      <c r="C119" s="271">
        <f t="shared" si="55"/>
        <v>382.82299999999998</v>
      </c>
      <c r="D119" s="271"/>
      <c r="E119" s="235">
        <v>382.82299999999998</v>
      </c>
      <c r="F119" s="235">
        <f t="shared" si="56"/>
        <v>0</v>
      </c>
      <c r="G119" s="235">
        <f t="shared" si="57"/>
        <v>0</v>
      </c>
      <c r="H119" s="235">
        <f t="shared" si="58"/>
        <v>0</v>
      </c>
      <c r="I119" s="235">
        <f t="shared" si="59"/>
        <v>0</v>
      </c>
      <c r="J119" s="235">
        <f t="shared" si="60"/>
        <v>0</v>
      </c>
      <c r="K119" s="235"/>
      <c r="L119" s="135"/>
      <c r="M119" s="135">
        <f t="shared" si="31"/>
        <v>0</v>
      </c>
      <c r="N119" s="135"/>
      <c r="O119" s="135"/>
      <c r="P119" s="346">
        <f t="shared" si="40"/>
        <v>0</v>
      </c>
      <c r="Q119" s="346"/>
      <c r="R119" s="346">
        <f t="shared" si="41"/>
        <v>0</v>
      </c>
    </row>
    <row r="120" spans="1:18">
      <c r="A120" s="277">
        <v>6</v>
      </c>
      <c r="B120" s="267" t="s">
        <v>252</v>
      </c>
      <c r="C120" s="271">
        <f t="shared" si="55"/>
        <v>388.916</v>
      </c>
      <c r="D120" s="271"/>
      <c r="E120" s="235">
        <v>388.916</v>
      </c>
      <c r="F120" s="235">
        <f t="shared" si="56"/>
        <v>0</v>
      </c>
      <c r="G120" s="235">
        <f t="shared" si="57"/>
        <v>0</v>
      </c>
      <c r="H120" s="235">
        <f t="shared" si="58"/>
        <v>0</v>
      </c>
      <c r="I120" s="235">
        <f t="shared" si="59"/>
        <v>0</v>
      </c>
      <c r="J120" s="235">
        <f t="shared" si="60"/>
        <v>0</v>
      </c>
      <c r="K120" s="235"/>
      <c r="L120" s="135"/>
      <c r="M120" s="135">
        <f t="shared" si="31"/>
        <v>0</v>
      </c>
      <c r="N120" s="135"/>
      <c r="O120" s="135"/>
      <c r="P120" s="346">
        <f t="shared" si="40"/>
        <v>0</v>
      </c>
      <c r="Q120" s="346"/>
      <c r="R120" s="346">
        <f t="shared" si="41"/>
        <v>0</v>
      </c>
    </row>
    <row r="121" spans="1:18">
      <c r="A121" s="277">
        <v>7</v>
      </c>
      <c r="B121" s="267" t="s">
        <v>451</v>
      </c>
      <c r="C121" s="271">
        <f t="shared" si="55"/>
        <v>394.54199999999997</v>
      </c>
      <c r="D121" s="271"/>
      <c r="E121" s="235">
        <v>394.54199999999997</v>
      </c>
      <c r="F121" s="235">
        <f t="shared" si="56"/>
        <v>0</v>
      </c>
      <c r="G121" s="235">
        <f t="shared" si="57"/>
        <v>0</v>
      </c>
      <c r="H121" s="235">
        <f t="shared" si="58"/>
        <v>0</v>
      </c>
      <c r="I121" s="235">
        <f t="shared" si="59"/>
        <v>0</v>
      </c>
      <c r="J121" s="235">
        <f t="shared" si="60"/>
        <v>0</v>
      </c>
      <c r="K121" s="235"/>
      <c r="L121" s="135"/>
      <c r="M121" s="135">
        <f t="shared" si="31"/>
        <v>0</v>
      </c>
      <c r="N121" s="135"/>
      <c r="O121" s="135"/>
      <c r="P121" s="346">
        <f t="shared" si="40"/>
        <v>0</v>
      </c>
      <c r="Q121" s="346"/>
      <c r="R121" s="346">
        <f t="shared" si="41"/>
        <v>0</v>
      </c>
    </row>
    <row r="122" spans="1:18">
      <c r="A122" s="277">
        <v>8</v>
      </c>
      <c r="B122" s="267" t="s">
        <v>244</v>
      </c>
      <c r="C122" s="271">
        <f t="shared" si="55"/>
        <v>379.15699999999998</v>
      </c>
      <c r="D122" s="271"/>
      <c r="E122" s="235">
        <v>379.15699999999998</v>
      </c>
      <c r="F122" s="235">
        <f t="shared" si="56"/>
        <v>0</v>
      </c>
      <c r="G122" s="235">
        <f t="shared" si="57"/>
        <v>0</v>
      </c>
      <c r="H122" s="235">
        <f t="shared" si="58"/>
        <v>0</v>
      </c>
      <c r="I122" s="235">
        <f t="shared" si="59"/>
        <v>0</v>
      </c>
      <c r="J122" s="235">
        <f t="shared" si="60"/>
        <v>0</v>
      </c>
      <c r="K122" s="235"/>
      <c r="L122" s="135"/>
      <c r="M122" s="135">
        <f t="shared" si="31"/>
        <v>0</v>
      </c>
      <c r="N122" s="135"/>
      <c r="O122" s="135"/>
      <c r="P122" s="346">
        <f t="shared" si="40"/>
        <v>0</v>
      </c>
      <c r="Q122" s="346"/>
      <c r="R122" s="346">
        <f t="shared" si="41"/>
        <v>0</v>
      </c>
    </row>
    <row r="123" spans="1:18">
      <c r="A123" s="277">
        <v>9</v>
      </c>
      <c r="B123" s="267" t="s">
        <v>246</v>
      </c>
      <c r="C123" s="271">
        <f t="shared" si="55"/>
        <v>386.54</v>
      </c>
      <c r="D123" s="271"/>
      <c r="E123" s="235">
        <v>386.54</v>
      </c>
      <c r="F123" s="235">
        <f t="shared" si="56"/>
        <v>0</v>
      </c>
      <c r="G123" s="235">
        <f t="shared" si="57"/>
        <v>0</v>
      </c>
      <c r="H123" s="235">
        <f t="shared" si="58"/>
        <v>0</v>
      </c>
      <c r="I123" s="235">
        <f t="shared" si="59"/>
        <v>0</v>
      </c>
      <c r="J123" s="235">
        <f t="shared" si="60"/>
        <v>0</v>
      </c>
      <c r="K123" s="235"/>
      <c r="L123" s="135"/>
      <c r="M123" s="135">
        <f t="shared" si="31"/>
        <v>0</v>
      </c>
      <c r="N123" s="135"/>
      <c r="O123" s="135"/>
      <c r="P123" s="346">
        <f t="shared" si="40"/>
        <v>0</v>
      </c>
      <c r="Q123" s="346"/>
      <c r="R123" s="346">
        <f t="shared" si="41"/>
        <v>0</v>
      </c>
    </row>
    <row r="124" spans="1:18">
      <c r="A124" s="277">
        <v>10</v>
      </c>
      <c r="B124" s="267" t="s">
        <v>449</v>
      </c>
      <c r="C124" s="271">
        <f t="shared" si="55"/>
        <v>381.45</v>
      </c>
      <c r="D124" s="271"/>
      <c r="E124" s="235">
        <v>381.45</v>
      </c>
      <c r="F124" s="235">
        <f t="shared" si="56"/>
        <v>0</v>
      </c>
      <c r="G124" s="235">
        <f t="shared" si="57"/>
        <v>0</v>
      </c>
      <c r="H124" s="235">
        <f t="shared" si="58"/>
        <v>0</v>
      </c>
      <c r="I124" s="235">
        <f t="shared" si="59"/>
        <v>0</v>
      </c>
      <c r="J124" s="235">
        <f t="shared" si="60"/>
        <v>0</v>
      </c>
      <c r="K124" s="235"/>
      <c r="L124" s="135"/>
      <c r="M124" s="135">
        <f t="shared" si="31"/>
        <v>0</v>
      </c>
      <c r="N124" s="135"/>
      <c r="O124" s="135"/>
      <c r="P124" s="346">
        <f t="shared" si="40"/>
        <v>0</v>
      </c>
      <c r="Q124" s="346"/>
      <c r="R124" s="346">
        <f t="shared" si="41"/>
        <v>0</v>
      </c>
    </row>
    <row r="125" spans="1:18">
      <c r="A125" s="277">
        <v>11</v>
      </c>
      <c r="B125" s="267" t="s">
        <v>250</v>
      </c>
      <c r="C125" s="271">
        <f t="shared" si="55"/>
        <v>383.62</v>
      </c>
      <c r="D125" s="271"/>
      <c r="E125" s="235">
        <v>383.62</v>
      </c>
      <c r="F125" s="235">
        <f t="shared" si="56"/>
        <v>0</v>
      </c>
      <c r="G125" s="235">
        <f t="shared" si="57"/>
        <v>0</v>
      </c>
      <c r="H125" s="235">
        <f t="shared" si="58"/>
        <v>0</v>
      </c>
      <c r="I125" s="235">
        <f t="shared" si="59"/>
        <v>0</v>
      </c>
      <c r="J125" s="235">
        <f t="shared" si="60"/>
        <v>0</v>
      </c>
      <c r="K125" s="235"/>
      <c r="L125" s="135"/>
      <c r="M125" s="135">
        <f t="shared" si="31"/>
        <v>0</v>
      </c>
      <c r="N125" s="135"/>
      <c r="O125" s="135"/>
      <c r="P125" s="346">
        <f t="shared" si="40"/>
        <v>0</v>
      </c>
      <c r="Q125" s="346"/>
      <c r="R125" s="346">
        <f t="shared" si="41"/>
        <v>0</v>
      </c>
    </row>
    <row r="126" spans="1:18" ht="99.75">
      <c r="A126" s="269" t="s">
        <v>37</v>
      </c>
      <c r="B126" s="270" t="s">
        <v>465</v>
      </c>
      <c r="C126" s="129">
        <f>SUM(C127:C137)</f>
        <v>26528.999999999993</v>
      </c>
      <c r="D126" s="129">
        <f t="shared" ref="D126:O126" si="62">SUM(D127:D137)</f>
        <v>25314</v>
      </c>
      <c r="E126" s="129">
        <f t="shared" si="62"/>
        <v>1215</v>
      </c>
      <c r="F126" s="129">
        <f t="shared" si="62"/>
        <v>10990.716819000003</v>
      </c>
      <c r="G126" s="129">
        <f t="shared" si="62"/>
        <v>9894.3621460000013</v>
      </c>
      <c r="H126" s="129">
        <f t="shared" si="62"/>
        <v>1096.354673</v>
      </c>
      <c r="I126" s="129">
        <f t="shared" si="62"/>
        <v>10990.716819000003</v>
      </c>
      <c r="J126" s="129">
        <f t="shared" si="62"/>
        <v>9894.3621460000013</v>
      </c>
      <c r="K126" s="129">
        <f t="shared" si="62"/>
        <v>9894.3621460000013</v>
      </c>
      <c r="L126" s="129">
        <f t="shared" si="62"/>
        <v>0</v>
      </c>
      <c r="M126" s="129">
        <f t="shared" si="62"/>
        <v>1096.354673</v>
      </c>
      <c r="N126" s="129">
        <f t="shared" si="62"/>
        <v>1096.354673</v>
      </c>
      <c r="O126" s="129">
        <f t="shared" si="62"/>
        <v>0</v>
      </c>
      <c r="P126" s="346">
        <f t="shared" si="40"/>
        <v>41.429065622526309</v>
      </c>
      <c r="Q126" s="346">
        <f t="shared" si="48"/>
        <v>39.086521869321331</v>
      </c>
      <c r="R126" s="346">
        <f t="shared" si="41"/>
        <v>90.234952510288068</v>
      </c>
    </row>
    <row r="127" spans="1:18">
      <c r="A127" s="264">
        <v>1</v>
      </c>
      <c r="B127" s="266" t="s">
        <v>452</v>
      </c>
      <c r="C127" s="135">
        <f>D127+E127</f>
        <v>2516.3399999999997</v>
      </c>
      <c r="D127" s="135">
        <v>2400.64</v>
      </c>
      <c r="E127" s="135">
        <v>115.7</v>
      </c>
      <c r="F127" s="135">
        <f t="shared" si="46"/>
        <v>2465.1468169999998</v>
      </c>
      <c r="G127" s="135">
        <f t="shared" si="34"/>
        <v>2349.446817</v>
      </c>
      <c r="H127" s="135">
        <f t="shared" si="35"/>
        <v>115.7</v>
      </c>
      <c r="I127" s="135">
        <f t="shared" si="36"/>
        <v>2465.1468169999998</v>
      </c>
      <c r="J127" s="135">
        <f t="shared" si="37"/>
        <v>2349.446817</v>
      </c>
      <c r="K127" s="135">
        <v>2349.446817</v>
      </c>
      <c r="L127" s="135"/>
      <c r="M127" s="135">
        <f t="shared" si="31"/>
        <v>115.7</v>
      </c>
      <c r="N127" s="135">
        <v>115.7</v>
      </c>
      <c r="O127" s="135"/>
      <c r="P127" s="346">
        <f t="shared" si="40"/>
        <v>97.965569716334045</v>
      </c>
      <c r="Q127" s="346">
        <f t="shared" si="48"/>
        <v>97.867519369834724</v>
      </c>
      <c r="R127" s="346">
        <f t="shared" si="41"/>
        <v>100</v>
      </c>
    </row>
    <row r="128" spans="1:18">
      <c r="A128" s="264">
        <v>2</v>
      </c>
      <c r="B128" s="266" t="s">
        <v>451</v>
      </c>
      <c r="C128" s="135">
        <f t="shared" si="45"/>
        <v>2566.96</v>
      </c>
      <c r="D128" s="135">
        <v>2448.7600000000002</v>
      </c>
      <c r="E128" s="135">
        <v>118.2</v>
      </c>
      <c r="F128" s="135">
        <f t="shared" si="46"/>
        <v>2294.9722889999998</v>
      </c>
      <c r="G128" s="135">
        <f t="shared" si="34"/>
        <v>2294.9722889999998</v>
      </c>
      <c r="H128" s="135">
        <f t="shared" si="35"/>
        <v>0</v>
      </c>
      <c r="I128" s="135">
        <f t="shared" si="36"/>
        <v>2294.9722889999998</v>
      </c>
      <c r="J128" s="135">
        <f t="shared" si="37"/>
        <v>2294.9722889999998</v>
      </c>
      <c r="K128" s="135">
        <v>2294.9722889999998</v>
      </c>
      <c r="L128" s="135"/>
      <c r="M128" s="135">
        <f t="shared" si="31"/>
        <v>0</v>
      </c>
      <c r="N128" s="135"/>
      <c r="O128" s="135"/>
      <c r="P128" s="346">
        <f t="shared" si="40"/>
        <v>89.404287133418521</v>
      </c>
      <c r="Q128" s="346">
        <f t="shared" si="48"/>
        <v>93.719772007056605</v>
      </c>
      <c r="R128" s="346">
        <f t="shared" si="41"/>
        <v>0</v>
      </c>
    </row>
    <row r="129" spans="1:18">
      <c r="A129" s="264">
        <v>3</v>
      </c>
      <c r="B129" s="266" t="s">
        <v>252</v>
      </c>
      <c r="C129" s="135">
        <f t="shared" si="45"/>
        <v>2545.14</v>
      </c>
      <c r="D129" s="135">
        <v>2428.04</v>
      </c>
      <c r="E129" s="135">
        <v>117.1</v>
      </c>
      <c r="F129" s="135">
        <f t="shared" si="46"/>
        <v>2503.8132000000001</v>
      </c>
      <c r="G129" s="135">
        <f t="shared" si="34"/>
        <v>2386.7132000000001</v>
      </c>
      <c r="H129" s="135">
        <f t="shared" si="35"/>
        <v>117.1</v>
      </c>
      <c r="I129" s="135">
        <f t="shared" si="36"/>
        <v>2503.8132000000001</v>
      </c>
      <c r="J129" s="135">
        <f t="shared" si="37"/>
        <v>2386.7132000000001</v>
      </c>
      <c r="K129" s="135">
        <v>2386.7132000000001</v>
      </c>
      <c r="L129" s="135"/>
      <c r="M129" s="135">
        <f t="shared" si="31"/>
        <v>117.1</v>
      </c>
      <c r="N129" s="135">
        <v>117.1</v>
      </c>
      <c r="O129" s="135"/>
      <c r="P129" s="346">
        <f t="shared" si="40"/>
        <v>98.376246493316671</v>
      </c>
      <c r="Q129" s="346">
        <f t="shared" si="48"/>
        <v>98.297935783595008</v>
      </c>
      <c r="R129" s="346">
        <f t="shared" si="41"/>
        <v>100</v>
      </c>
    </row>
    <row r="130" spans="1:18">
      <c r="A130" s="264">
        <v>4</v>
      </c>
      <c r="B130" s="266" t="s">
        <v>471</v>
      </c>
      <c r="C130" s="135">
        <f t="shared" si="45"/>
        <v>2410.21</v>
      </c>
      <c r="D130" s="135">
        <v>2299.81</v>
      </c>
      <c r="E130" s="135">
        <v>110.4</v>
      </c>
      <c r="F130" s="135">
        <f t="shared" si="46"/>
        <v>307.20500000000004</v>
      </c>
      <c r="G130" s="135">
        <f t="shared" si="34"/>
        <v>196.80600000000001</v>
      </c>
      <c r="H130" s="135">
        <f t="shared" si="35"/>
        <v>110.399</v>
      </c>
      <c r="I130" s="135">
        <f t="shared" si="36"/>
        <v>307.20500000000004</v>
      </c>
      <c r="J130" s="135">
        <f t="shared" si="37"/>
        <v>196.80600000000001</v>
      </c>
      <c r="K130" s="135">
        <v>196.80600000000001</v>
      </c>
      <c r="L130" s="135"/>
      <c r="M130" s="135">
        <f t="shared" si="31"/>
        <v>110.399</v>
      </c>
      <c r="N130" s="135">
        <v>110.399</v>
      </c>
      <c r="O130" s="135"/>
      <c r="P130" s="346">
        <f t="shared" si="40"/>
        <v>12.745984789707125</v>
      </c>
      <c r="Q130" s="346">
        <f t="shared" si="48"/>
        <v>8.5574895317439275</v>
      </c>
      <c r="R130" s="346">
        <f t="shared" si="41"/>
        <v>99.999094202898547</v>
      </c>
    </row>
    <row r="131" spans="1:18">
      <c r="A131" s="264">
        <v>5</v>
      </c>
      <c r="B131" s="266" t="s">
        <v>462</v>
      </c>
      <c r="C131" s="135">
        <f t="shared" si="45"/>
        <v>2395.8199999999997</v>
      </c>
      <c r="D131" s="135">
        <v>2286.12</v>
      </c>
      <c r="E131" s="135">
        <v>109.7</v>
      </c>
      <c r="F131" s="135">
        <f t="shared" si="46"/>
        <v>345.61500000000001</v>
      </c>
      <c r="G131" s="135">
        <f t="shared" si="34"/>
        <v>235.91499999999999</v>
      </c>
      <c r="H131" s="135">
        <f t="shared" si="35"/>
        <v>109.7</v>
      </c>
      <c r="I131" s="135">
        <f t="shared" si="36"/>
        <v>345.61500000000001</v>
      </c>
      <c r="J131" s="135">
        <f t="shared" si="37"/>
        <v>235.91499999999999</v>
      </c>
      <c r="K131" s="135">
        <v>235.91499999999999</v>
      </c>
      <c r="L131" s="135"/>
      <c r="M131" s="135">
        <f t="shared" si="31"/>
        <v>109.7</v>
      </c>
      <c r="N131" s="135">
        <v>109.7</v>
      </c>
      <c r="O131" s="135"/>
      <c r="P131" s="346">
        <f t="shared" si="40"/>
        <v>14.425749847651328</v>
      </c>
      <c r="Q131" s="346">
        <f t="shared" si="48"/>
        <v>10.319449547705283</v>
      </c>
      <c r="R131" s="346">
        <f t="shared" si="41"/>
        <v>100</v>
      </c>
    </row>
    <row r="132" spans="1:18">
      <c r="A132" s="264">
        <v>6</v>
      </c>
      <c r="B132" s="266" t="s">
        <v>250</v>
      </c>
      <c r="C132" s="135">
        <f t="shared" si="45"/>
        <v>2398.8500000000004</v>
      </c>
      <c r="D132" s="135">
        <v>2289.0500000000002</v>
      </c>
      <c r="E132" s="135">
        <v>109.8</v>
      </c>
      <c r="F132" s="135">
        <f t="shared" si="46"/>
        <v>345.911</v>
      </c>
      <c r="G132" s="135">
        <f t="shared" si="34"/>
        <v>236.11099999999999</v>
      </c>
      <c r="H132" s="135">
        <f t="shared" si="35"/>
        <v>109.8</v>
      </c>
      <c r="I132" s="135">
        <f t="shared" si="36"/>
        <v>345.911</v>
      </c>
      <c r="J132" s="135">
        <f t="shared" si="37"/>
        <v>236.11099999999999</v>
      </c>
      <c r="K132" s="135">
        <v>236.11099999999999</v>
      </c>
      <c r="L132" s="135"/>
      <c r="M132" s="135">
        <f t="shared" si="31"/>
        <v>109.8</v>
      </c>
      <c r="N132" s="135">
        <v>109.8</v>
      </c>
      <c r="O132" s="135"/>
      <c r="P132" s="346">
        <f t="shared" si="40"/>
        <v>14.419867853346394</v>
      </c>
      <c r="Q132" s="346">
        <f t="shared" si="48"/>
        <v>10.314803084248924</v>
      </c>
      <c r="R132" s="346">
        <f t="shared" si="41"/>
        <v>100</v>
      </c>
    </row>
    <row r="133" spans="1:18">
      <c r="A133" s="264">
        <v>7</v>
      </c>
      <c r="B133" s="266" t="s">
        <v>461</v>
      </c>
      <c r="C133" s="135">
        <f t="shared" si="45"/>
        <v>2307.8100000000004</v>
      </c>
      <c r="D133" s="135">
        <v>2202.5100000000002</v>
      </c>
      <c r="E133" s="135">
        <v>105.3</v>
      </c>
      <c r="F133" s="135">
        <f t="shared" si="46"/>
        <v>341.43799999999999</v>
      </c>
      <c r="G133" s="135">
        <f t="shared" si="34"/>
        <v>236.43799999999999</v>
      </c>
      <c r="H133" s="135">
        <f t="shared" si="35"/>
        <v>105</v>
      </c>
      <c r="I133" s="135">
        <f t="shared" si="36"/>
        <v>341.43799999999999</v>
      </c>
      <c r="J133" s="135">
        <f t="shared" si="37"/>
        <v>236.43799999999999</v>
      </c>
      <c r="K133" s="135">
        <v>236.43799999999999</v>
      </c>
      <c r="L133" s="135"/>
      <c r="M133" s="135">
        <f t="shared" si="31"/>
        <v>105</v>
      </c>
      <c r="N133" s="135">
        <v>105</v>
      </c>
      <c r="O133" s="135"/>
      <c r="P133" s="346">
        <f t="shared" si="40"/>
        <v>14.794892127168177</v>
      </c>
      <c r="Q133" s="346">
        <f t="shared" si="48"/>
        <v>10.734934234123795</v>
      </c>
      <c r="R133" s="346">
        <f t="shared" si="41"/>
        <v>99.715099715099726</v>
      </c>
    </row>
    <row r="134" spans="1:18">
      <c r="A134" s="264">
        <v>8</v>
      </c>
      <c r="B134" s="266" t="s">
        <v>249</v>
      </c>
      <c r="C134" s="135">
        <f t="shared" si="45"/>
        <v>2321.3000000000002</v>
      </c>
      <c r="D134" s="135">
        <v>2215.4</v>
      </c>
      <c r="E134" s="135">
        <v>105.9</v>
      </c>
      <c r="F134" s="135">
        <f t="shared" si="46"/>
        <v>1332.3326729999999</v>
      </c>
      <c r="G134" s="135">
        <f t="shared" si="34"/>
        <v>1226.55</v>
      </c>
      <c r="H134" s="135">
        <f t="shared" si="35"/>
        <v>105.782673</v>
      </c>
      <c r="I134" s="135">
        <f t="shared" si="36"/>
        <v>1332.3326729999999</v>
      </c>
      <c r="J134" s="135">
        <f t="shared" si="37"/>
        <v>1226.55</v>
      </c>
      <c r="K134" s="135">
        <v>1226.55</v>
      </c>
      <c r="L134" s="135"/>
      <c r="M134" s="135">
        <f t="shared" si="31"/>
        <v>105.782673</v>
      </c>
      <c r="N134" s="135">
        <v>105.782673</v>
      </c>
      <c r="O134" s="135"/>
      <c r="P134" s="346">
        <f t="shared" si="40"/>
        <v>57.395970921466407</v>
      </c>
      <c r="Q134" s="346">
        <f t="shared" si="48"/>
        <v>55.364719689446595</v>
      </c>
      <c r="R134" s="346">
        <f t="shared" si="41"/>
        <v>99.889209631728036</v>
      </c>
    </row>
    <row r="135" spans="1:18">
      <c r="A135" s="264">
        <v>9</v>
      </c>
      <c r="B135" s="266" t="s">
        <v>244</v>
      </c>
      <c r="C135" s="135">
        <f t="shared" si="45"/>
        <v>2381.5100000000002</v>
      </c>
      <c r="D135" s="135">
        <v>2272.61</v>
      </c>
      <c r="E135" s="135">
        <v>108.9</v>
      </c>
      <c r="F135" s="135">
        <f t="shared" si="46"/>
        <v>351.56400000000002</v>
      </c>
      <c r="G135" s="135">
        <f t="shared" si="34"/>
        <v>242.691</v>
      </c>
      <c r="H135" s="135">
        <f t="shared" si="35"/>
        <v>108.873</v>
      </c>
      <c r="I135" s="135">
        <f t="shared" si="36"/>
        <v>351.56400000000002</v>
      </c>
      <c r="J135" s="135">
        <f t="shared" si="37"/>
        <v>242.691</v>
      </c>
      <c r="K135" s="135">
        <v>242.691</v>
      </c>
      <c r="L135" s="135"/>
      <c r="M135" s="135">
        <f t="shared" si="31"/>
        <v>108.873</v>
      </c>
      <c r="N135" s="135">
        <v>108.873</v>
      </c>
      <c r="O135" s="135"/>
      <c r="P135" s="346">
        <f t="shared" si="40"/>
        <v>14.762230685573439</v>
      </c>
      <c r="Q135" s="346">
        <f t="shared" si="48"/>
        <v>10.678955034079758</v>
      </c>
      <c r="R135" s="346">
        <f t="shared" si="41"/>
        <v>99.975206611570243</v>
      </c>
    </row>
    <row r="136" spans="1:18">
      <c r="A136" s="264">
        <v>10</v>
      </c>
      <c r="B136" s="266" t="s">
        <v>448</v>
      </c>
      <c r="C136" s="135">
        <f t="shared" si="45"/>
        <v>2294.6</v>
      </c>
      <c r="D136" s="135">
        <v>2190</v>
      </c>
      <c r="E136" s="135">
        <v>104.6</v>
      </c>
      <c r="F136" s="135">
        <f t="shared" si="46"/>
        <v>348.53100000000001</v>
      </c>
      <c r="G136" s="135">
        <f t="shared" si="34"/>
        <v>243.93100000000001</v>
      </c>
      <c r="H136" s="135">
        <f t="shared" si="35"/>
        <v>104.6</v>
      </c>
      <c r="I136" s="135">
        <f t="shared" si="36"/>
        <v>348.53100000000001</v>
      </c>
      <c r="J136" s="135">
        <f t="shared" si="37"/>
        <v>243.93100000000001</v>
      </c>
      <c r="K136" s="135">
        <v>243.93100000000001</v>
      </c>
      <c r="L136" s="135"/>
      <c r="M136" s="135">
        <f t="shared" si="31"/>
        <v>104.6</v>
      </c>
      <c r="N136" s="135">
        <v>104.6</v>
      </c>
      <c r="O136" s="135"/>
      <c r="P136" s="346">
        <f t="shared" si="40"/>
        <v>15.189183299921554</v>
      </c>
      <c r="Q136" s="346">
        <f t="shared" si="48"/>
        <v>11.138401826484019</v>
      </c>
      <c r="R136" s="346">
        <f t="shared" si="41"/>
        <v>100</v>
      </c>
    </row>
    <row r="137" spans="1:18">
      <c r="A137" s="264">
        <v>11</v>
      </c>
      <c r="B137" s="266" t="s">
        <v>449</v>
      </c>
      <c r="C137" s="135">
        <f t="shared" si="45"/>
        <v>2390.46</v>
      </c>
      <c r="D137" s="135">
        <v>2281.06</v>
      </c>
      <c r="E137" s="135">
        <v>109.4</v>
      </c>
      <c r="F137" s="135">
        <f t="shared" si="46"/>
        <v>354.18783999999999</v>
      </c>
      <c r="G137" s="135">
        <f t="shared" si="34"/>
        <v>244.78783999999999</v>
      </c>
      <c r="H137" s="135">
        <f t="shared" si="35"/>
        <v>109.4</v>
      </c>
      <c r="I137" s="135">
        <f t="shared" si="36"/>
        <v>354.18783999999999</v>
      </c>
      <c r="J137" s="135">
        <f t="shared" si="37"/>
        <v>244.78783999999999</v>
      </c>
      <c r="K137" s="135">
        <v>244.78783999999999</v>
      </c>
      <c r="L137" s="135"/>
      <c r="M137" s="135">
        <f t="shared" si="31"/>
        <v>109.4</v>
      </c>
      <c r="N137" s="135">
        <v>109.4</v>
      </c>
      <c r="O137" s="135"/>
      <c r="P137" s="346">
        <f t="shared" si="40"/>
        <v>14.81672314115275</v>
      </c>
      <c r="Q137" s="346">
        <f t="shared" si="48"/>
        <v>10.731319649636573</v>
      </c>
      <c r="R137" s="346">
        <f t="shared" si="41"/>
        <v>100</v>
      </c>
    </row>
    <row r="138" spans="1:18" ht="42.75">
      <c r="A138" s="269" t="s">
        <v>39</v>
      </c>
      <c r="B138" s="270" t="s">
        <v>466</v>
      </c>
      <c r="C138" s="129">
        <f>SUM(C139:C145)</f>
        <v>11870</v>
      </c>
      <c r="D138" s="129">
        <f t="shared" ref="D138:O138" si="63">SUM(D139:D145)</f>
        <v>8677</v>
      </c>
      <c r="E138" s="129">
        <f t="shared" si="63"/>
        <v>3193</v>
      </c>
      <c r="F138" s="129">
        <f t="shared" si="63"/>
        <v>4581.2109999999993</v>
      </c>
      <c r="G138" s="129">
        <f t="shared" si="63"/>
        <v>3906.3719999999998</v>
      </c>
      <c r="H138" s="129">
        <f t="shared" si="63"/>
        <v>674.83899999999994</v>
      </c>
      <c r="I138" s="129">
        <f t="shared" si="63"/>
        <v>4581.2109999999993</v>
      </c>
      <c r="J138" s="129">
        <f t="shared" si="63"/>
        <v>3906.3719999999998</v>
      </c>
      <c r="K138" s="129">
        <f t="shared" si="63"/>
        <v>3906.3719999999998</v>
      </c>
      <c r="L138" s="129">
        <f t="shared" si="63"/>
        <v>0</v>
      </c>
      <c r="M138" s="129">
        <f t="shared" si="63"/>
        <v>674.83899999999994</v>
      </c>
      <c r="N138" s="129">
        <f t="shared" si="63"/>
        <v>674.83899999999994</v>
      </c>
      <c r="O138" s="129">
        <f t="shared" si="63"/>
        <v>0</v>
      </c>
      <c r="P138" s="345">
        <f t="shared" si="40"/>
        <v>38.594869418702601</v>
      </c>
      <c r="Q138" s="345">
        <f t="shared" si="48"/>
        <v>45.019845568744955</v>
      </c>
      <c r="R138" s="345">
        <f t="shared" si="41"/>
        <v>21.134951456310677</v>
      </c>
    </row>
    <row r="139" spans="1:18">
      <c r="A139" s="264">
        <v>1</v>
      </c>
      <c r="B139" s="266" t="s">
        <v>460</v>
      </c>
      <c r="C139" s="135">
        <f t="shared" si="45"/>
        <v>8677</v>
      </c>
      <c r="D139" s="135">
        <v>8677</v>
      </c>
      <c r="E139" s="135"/>
      <c r="F139" s="135">
        <f t="shared" si="46"/>
        <v>3906.3719999999998</v>
      </c>
      <c r="G139" s="135">
        <f t="shared" si="34"/>
        <v>3906.3719999999998</v>
      </c>
      <c r="H139" s="135">
        <f t="shared" si="35"/>
        <v>0</v>
      </c>
      <c r="I139" s="135">
        <f t="shared" si="36"/>
        <v>3906.3719999999998</v>
      </c>
      <c r="J139" s="135">
        <f t="shared" si="37"/>
        <v>3906.3719999999998</v>
      </c>
      <c r="K139" s="135">
        <v>3906.3719999999998</v>
      </c>
      <c r="L139" s="135"/>
      <c r="M139" s="135">
        <f t="shared" si="31"/>
        <v>0</v>
      </c>
      <c r="N139" s="135"/>
      <c r="O139" s="135"/>
      <c r="P139" s="346">
        <f t="shared" si="40"/>
        <v>45.019845568744955</v>
      </c>
      <c r="Q139" s="346">
        <f t="shared" si="48"/>
        <v>45.019845568744955</v>
      </c>
      <c r="R139" s="346"/>
    </row>
    <row r="140" spans="1:18" ht="30">
      <c r="A140" s="264">
        <v>2</v>
      </c>
      <c r="B140" s="278" t="s">
        <v>499</v>
      </c>
      <c r="C140" s="135">
        <f>D140+E140</f>
        <v>367.5</v>
      </c>
      <c r="D140" s="135"/>
      <c r="E140" s="135">
        <v>367.5</v>
      </c>
      <c r="F140" s="135">
        <f t="shared" ref="F140:F145" si="64">G140+H140</f>
        <v>234.67500000000001</v>
      </c>
      <c r="G140" s="135">
        <f t="shared" ref="G140:G145" si="65">J140</f>
        <v>0</v>
      </c>
      <c r="H140" s="135">
        <f t="shared" ref="H140:H145" si="66">M140</f>
        <v>234.67500000000001</v>
      </c>
      <c r="I140" s="135">
        <f t="shared" ref="I140:I145" si="67">J140+M140</f>
        <v>234.67500000000001</v>
      </c>
      <c r="J140" s="135">
        <f t="shared" ref="J140:J145" si="68">K140+L140</f>
        <v>0</v>
      </c>
      <c r="K140" s="135"/>
      <c r="L140" s="135"/>
      <c r="M140" s="135">
        <f t="shared" si="31"/>
        <v>234.67500000000001</v>
      </c>
      <c r="N140" s="135">
        <v>234.67500000000001</v>
      </c>
      <c r="O140" s="135"/>
      <c r="P140" s="346">
        <f t="shared" si="40"/>
        <v>63.857142857142854</v>
      </c>
      <c r="Q140" s="346"/>
      <c r="R140" s="346">
        <f t="shared" si="41"/>
        <v>63.857142857142854</v>
      </c>
    </row>
    <row r="141" spans="1:18" ht="30">
      <c r="A141" s="264">
        <v>3</v>
      </c>
      <c r="B141" s="278" t="s">
        <v>500</v>
      </c>
      <c r="C141" s="135">
        <f t="shared" si="45"/>
        <v>636.4</v>
      </c>
      <c r="D141" s="135"/>
      <c r="E141" s="135">
        <v>636.4</v>
      </c>
      <c r="F141" s="135">
        <f t="shared" si="64"/>
        <v>440.16399999999999</v>
      </c>
      <c r="G141" s="135">
        <f t="shared" si="65"/>
        <v>0</v>
      </c>
      <c r="H141" s="135">
        <f t="shared" si="66"/>
        <v>440.16399999999999</v>
      </c>
      <c r="I141" s="135">
        <f t="shared" si="67"/>
        <v>440.16399999999999</v>
      </c>
      <c r="J141" s="135">
        <f t="shared" si="68"/>
        <v>0</v>
      </c>
      <c r="K141" s="135"/>
      <c r="L141" s="135"/>
      <c r="M141" s="135">
        <f t="shared" si="31"/>
        <v>440.16399999999999</v>
      </c>
      <c r="N141" s="135">
        <v>440.16399999999999</v>
      </c>
      <c r="O141" s="135"/>
      <c r="P141" s="346">
        <f t="shared" ref="P141:P156" si="69">F141/C141*100</f>
        <v>69.164676304211198</v>
      </c>
      <c r="Q141" s="346"/>
      <c r="R141" s="346">
        <f t="shared" ref="R141:R156" si="70">H141/E141*100</f>
        <v>69.164676304211198</v>
      </c>
    </row>
    <row r="142" spans="1:18">
      <c r="A142" s="264">
        <v>4</v>
      </c>
      <c r="B142" s="278" t="s">
        <v>501</v>
      </c>
      <c r="C142" s="135">
        <f t="shared" si="45"/>
        <v>186</v>
      </c>
      <c r="D142" s="135"/>
      <c r="E142" s="135">
        <v>186</v>
      </c>
      <c r="F142" s="135">
        <f t="shared" si="64"/>
        <v>0</v>
      </c>
      <c r="G142" s="135">
        <f t="shared" si="65"/>
        <v>0</v>
      </c>
      <c r="H142" s="135">
        <f t="shared" si="66"/>
        <v>0</v>
      </c>
      <c r="I142" s="135">
        <f t="shared" si="67"/>
        <v>0</v>
      </c>
      <c r="J142" s="135">
        <f t="shared" si="68"/>
        <v>0</v>
      </c>
      <c r="K142" s="135"/>
      <c r="L142" s="135"/>
      <c r="M142" s="135">
        <f t="shared" si="31"/>
        <v>0</v>
      </c>
      <c r="N142" s="135"/>
      <c r="O142" s="135"/>
      <c r="P142" s="346"/>
      <c r="Q142" s="346"/>
      <c r="R142" s="346"/>
    </row>
    <row r="143" spans="1:18">
      <c r="A143" s="264">
        <v>5</v>
      </c>
      <c r="B143" s="278" t="s">
        <v>502</v>
      </c>
      <c r="C143" s="135">
        <f t="shared" si="45"/>
        <v>187</v>
      </c>
      <c r="D143" s="135"/>
      <c r="E143" s="135">
        <v>187</v>
      </c>
      <c r="F143" s="135">
        <f t="shared" si="64"/>
        <v>0</v>
      </c>
      <c r="G143" s="135">
        <f t="shared" si="65"/>
        <v>0</v>
      </c>
      <c r="H143" s="135">
        <f t="shared" si="66"/>
        <v>0</v>
      </c>
      <c r="I143" s="135">
        <f t="shared" si="67"/>
        <v>0</v>
      </c>
      <c r="J143" s="135">
        <f t="shared" si="68"/>
        <v>0</v>
      </c>
      <c r="K143" s="135"/>
      <c r="L143" s="135"/>
      <c r="M143" s="135">
        <f t="shared" si="31"/>
        <v>0</v>
      </c>
      <c r="N143" s="135"/>
      <c r="O143" s="135"/>
      <c r="P143" s="346"/>
      <c r="Q143" s="346"/>
      <c r="R143" s="346"/>
    </row>
    <row r="144" spans="1:18" ht="30">
      <c r="A144" s="264">
        <v>6</v>
      </c>
      <c r="B144" s="278" t="s">
        <v>503</v>
      </c>
      <c r="C144" s="135">
        <f t="shared" si="45"/>
        <v>153</v>
      </c>
      <c r="D144" s="135"/>
      <c r="E144" s="135">
        <v>153</v>
      </c>
      <c r="F144" s="135">
        <f t="shared" si="64"/>
        <v>0</v>
      </c>
      <c r="G144" s="135">
        <f t="shared" si="65"/>
        <v>0</v>
      </c>
      <c r="H144" s="135">
        <f t="shared" si="66"/>
        <v>0</v>
      </c>
      <c r="I144" s="135">
        <f t="shared" si="67"/>
        <v>0</v>
      </c>
      <c r="J144" s="135">
        <f t="shared" si="68"/>
        <v>0</v>
      </c>
      <c r="K144" s="135"/>
      <c r="L144" s="135"/>
      <c r="M144" s="135">
        <f t="shared" si="31"/>
        <v>0</v>
      </c>
      <c r="N144" s="135"/>
      <c r="O144" s="135"/>
      <c r="P144" s="346"/>
      <c r="Q144" s="346"/>
      <c r="R144" s="346"/>
    </row>
    <row r="145" spans="1:18" ht="30">
      <c r="A145" s="264">
        <v>7</v>
      </c>
      <c r="B145" s="279" t="s">
        <v>504</v>
      </c>
      <c r="C145" s="135">
        <f t="shared" si="45"/>
        <v>1663.1</v>
      </c>
      <c r="D145" s="135"/>
      <c r="E145" s="135">
        <v>1663.1</v>
      </c>
      <c r="F145" s="135">
        <f t="shared" si="64"/>
        <v>0</v>
      </c>
      <c r="G145" s="135">
        <f t="shared" si="65"/>
        <v>0</v>
      </c>
      <c r="H145" s="135">
        <f t="shared" si="66"/>
        <v>0</v>
      </c>
      <c r="I145" s="135">
        <f t="shared" si="67"/>
        <v>0</v>
      </c>
      <c r="J145" s="135">
        <f t="shared" si="68"/>
        <v>0</v>
      </c>
      <c r="K145" s="135"/>
      <c r="L145" s="135"/>
      <c r="M145" s="135">
        <f t="shared" si="31"/>
        <v>0</v>
      </c>
      <c r="N145" s="135"/>
      <c r="O145" s="135"/>
      <c r="P145" s="346"/>
      <c r="Q145" s="346"/>
      <c r="R145" s="346"/>
    </row>
    <row r="146" spans="1:18" ht="71.25">
      <c r="A146" s="269" t="s">
        <v>41</v>
      </c>
      <c r="B146" s="270" t="s">
        <v>467</v>
      </c>
      <c r="C146" s="129">
        <f>C147</f>
        <v>1470.028</v>
      </c>
      <c r="D146" s="129">
        <f t="shared" ref="D146:O146" si="71">D147</f>
        <v>1315.028</v>
      </c>
      <c r="E146" s="129">
        <f t="shared" si="71"/>
        <v>155</v>
      </c>
      <c r="F146" s="129">
        <f t="shared" si="71"/>
        <v>155</v>
      </c>
      <c r="G146" s="129">
        <f t="shared" si="71"/>
        <v>0</v>
      </c>
      <c r="H146" s="129">
        <f t="shared" si="71"/>
        <v>155</v>
      </c>
      <c r="I146" s="129">
        <f t="shared" si="71"/>
        <v>155</v>
      </c>
      <c r="J146" s="129">
        <f t="shared" si="71"/>
        <v>0</v>
      </c>
      <c r="K146" s="129">
        <f t="shared" si="71"/>
        <v>0</v>
      </c>
      <c r="L146" s="129">
        <f t="shared" si="71"/>
        <v>0</v>
      </c>
      <c r="M146" s="129">
        <f t="shared" si="71"/>
        <v>155</v>
      </c>
      <c r="N146" s="129">
        <f t="shared" si="71"/>
        <v>155</v>
      </c>
      <c r="O146" s="129">
        <f t="shared" si="71"/>
        <v>0</v>
      </c>
      <c r="P146" s="345">
        <f t="shared" si="69"/>
        <v>10.544016848658664</v>
      </c>
      <c r="Q146" s="345"/>
      <c r="R146" s="345">
        <f t="shared" si="70"/>
        <v>100</v>
      </c>
    </row>
    <row r="147" spans="1:18" ht="30">
      <c r="A147" s="264">
        <v>1</v>
      </c>
      <c r="B147" s="266" t="s">
        <v>469</v>
      </c>
      <c r="C147" s="135">
        <f>D147+E147</f>
        <v>1470.028</v>
      </c>
      <c r="D147" s="135">
        <v>1315.028</v>
      </c>
      <c r="E147" s="135">
        <v>155</v>
      </c>
      <c r="F147" s="135">
        <f t="shared" si="46"/>
        <v>155</v>
      </c>
      <c r="G147" s="135">
        <f t="shared" si="34"/>
        <v>0</v>
      </c>
      <c r="H147" s="135">
        <f t="shared" si="35"/>
        <v>155</v>
      </c>
      <c r="I147" s="135">
        <f t="shared" si="36"/>
        <v>155</v>
      </c>
      <c r="J147" s="135">
        <f t="shared" si="37"/>
        <v>0</v>
      </c>
      <c r="K147" s="135"/>
      <c r="L147" s="135"/>
      <c r="M147" s="135">
        <f t="shared" si="31"/>
        <v>155</v>
      </c>
      <c r="N147" s="135">
        <v>155</v>
      </c>
      <c r="O147" s="135"/>
      <c r="P147" s="346">
        <f t="shared" si="69"/>
        <v>10.544016848658664</v>
      </c>
      <c r="Q147" s="346"/>
      <c r="R147" s="346">
        <f t="shared" si="70"/>
        <v>100</v>
      </c>
    </row>
    <row r="148" spans="1:18" s="131" customFormat="1" ht="57">
      <c r="A148" s="269" t="s">
        <v>346</v>
      </c>
      <c r="B148" s="270" t="s">
        <v>505</v>
      </c>
      <c r="C148" s="129">
        <f>C149</f>
        <v>465</v>
      </c>
      <c r="D148" s="129">
        <f t="shared" ref="D148:O148" si="72">D149</f>
        <v>0</v>
      </c>
      <c r="E148" s="129">
        <f t="shared" si="72"/>
        <v>465</v>
      </c>
      <c r="F148" s="129">
        <f t="shared" si="72"/>
        <v>403.47949399999999</v>
      </c>
      <c r="G148" s="129">
        <f t="shared" si="72"/>
        <v>0</v>
      </c>
      <c r="H148" s="129">
        <f t="shared" si="72"/>
        <v>403.47949399999999</v>
      </c>
      <c r="I148" s="129">
        <f t="shared" si="72"/>
        <v>403.47949399999999</v>
      </c>
      <c r="J148" s="129">
        <f t="shared" si="72"/>
        <v>0</v>
      </c>
      <c r="K148" s="129">
        <f t="shared" si="72"/>
        <v>0</v>
      </c>
      <c r="L148" s="129">
        <f t="shared" si="72"/>
        <v>0</v>
      </c>
      <c r="M148" s="129">
        <f t="shared" si="72"/>
        <v>403.47949399999999</v>
      </c>
      <c r="N148" s="129">
        <f t="shared" si="72"/>
        <v>403.47949399999999</v>
      </c>
      <c r="O148" s="129">
        <f t="shared" si="72"/>
        <v>0</v>
      </c>
      <c r="P148" s="345">
        <f t="shared" si="69"/>
        <v>86.769783655913983</v>
      </c>
      <c r="Q148" s="345"/>
      <c r="R148" s="345">
        <f t="shared" si="70"/>
        <v>86.769783655913983</v>
      </c>
    </row>
    <row r="149" spans="1:18">
      <c r="A149" s="264">
        <v>1</v>
      </c>
      <c r="B149" s="266" t="s">
        <v>506</v>
      </c>
      <c r="C149" s="135">
        <f t="shared" ref="C149:C151" si="73">D149+E149</f>
        <v>465</v>
      </c>
      <c r="D149" s="135"/>
      <c r="E149" s="135">
        <v>465</v>
      </c>
      <c r="F149" s="135">
        <f t="shared" ref="F149" si="74">G149+H149</f>
        <v>403.47949399999999</v>
      </c>
      <c r="G149" s="135">
        <f t="shared" ref="G149" si="75">J149</f>
        <v>0</v>
      </c>
      <c r="H149" s="135">
        <f t="shared" ref="H149" si="76">M149</f>
        <v>403.47949399999999</v>
      </c>
      <c r="I149" s="135">
        <f t="shared" ref="I149" si="77">J149+M149</f>
        <v>403.47949399999999</v>
      </c>
      <c r="J149" s="135">
        <f t="shared" ref="J149" si="78">K149+L149</f>
        <v>0</v>
      </c>
      <c r="K149" s="135"/>
      <c r="L149" s="135"/>
      <c r="M149" s="135">
        <f t="shared" si="31"/>
        <v>403.47949399999999</v>
      </c>
      <c r="N149" s="135">
        <v>403.47949399999999</v>
      </c>
      <c r="O149" s="135"/>
      <c r="P149" s="346">
        <f t="shared" si="69"/>
        <v>86.769783655913983</v>
      </c>
      <c r="Q149" s="346"/>
      <c r="R149" s="346">
        <f t="shared" si="70"/>
        <v>86.769783655913983</v>
      </c>
    </row>
    <row r="150" spans="1:18" s="131" customFormat="1" ht="57">
      <c r="A150" s="269" t="s">
        <v>347</v>
      </c>
      <c r="B150" s="270" t="s">
        <v>507</v>
      </c>
      <c r="C150" s="129">
        <f>C151</f>
        <v>108</v>
      </c>
      <c r="D150" s="129">
        <f t="shared" ref="D150:O150" si="79">D151</f>
        <v>0</v>
      </c>
      <c r="E150" s="129">
        <f t="shared" si="79"/>
        <v>108</v>
      </c>
      <c r="F150" s="129">
        <f t="shared" si="79"/>
        <v>108</v>
      </c>
      <c r="G150" s="129">
        <f t="shared" si="79"/>
        <v>0</v>
      </c>
      <c r="H150" s="129">
        <f t="shared" si="79"/>
        <v>108</v>
      </c>
      <c r="I150" s="129">
        <f t="shared" si="79"/>
        <v>108</v>
      </c>
      <c r="J150" s="129">
        <f t="shared" si="79"/>
        <v>0</v>
      </c>
      <c r="K150" s="129">
        <f t="shared" si="79"/>
        <v>0</v>
      </c>
      <c r="L150" s="129">
        <f t="shared" si="79"/>
        <v>0</v>
      </c>
      <c r="M150" s="129">
        <f t="shared" si="79"/>
        <v>108</v>
      </c>
      <c r="N150" s="129">
        <f t="shared" si="79"/>
        <v>108</v>
      </c>
      <c r="O150" s="129">
        <f t="shared" si="79"/>
        <v>0</v>
      </c>
      <c r="P150" s="345">
        <f t="shared" si="69"/>
        <v>100</v>
      </c>
      <c r="Q150" s="345"/>
      <c r="R150" s="345">
        <f t="shared" si="70"/>
        <v>100</v>
      </c>
    </row>
    <row r="151" spans="1:18">
      <c r="A151" s="264">
        <v>1</v>
      </c>
      <c r="B151" s="266" t="s">
        <v>508</v>
      </c>
      <c r="C151" s="135">
        <f t="shared" si="73"/>
        <v>108</v>
      </c>
      <c r="D151" s="135"/>
      <c r="E151" s="135">
        <v>108</v>
      </c>
      <c r="F151" s="135">
        <f t="shared" ref="F151" si="80">G151+H151</f>
        <v>108</v>
      </c>
      <c r="G151" s="135">
        <f t="shared" ref="G151" si="81">J151</f>
        <v>0</v>
      </c>
      <c r="H151" s="135">
        <f t="shared" ref="H151" si="82">M151</f>
        <v>108</v>
      </c>
      <c r="I151" s="135">
        <f t="shared" ref="I151" si="83">J151+M151</f>
        <v>108</v>
      </c>
      <c r="J151" s="135">
        <f t="shared" ref="J151" si="84">K151+L151</f>
        <v>0</v>
      </c>
      <c r="K151" s="135"/>
      <c r="L151" s="135"/>
      <c r="M151" s="135">
        <f t="shared" si="31"/>
        <v>108</v>
      </c>
      <c r="N151" s="135">
        <v>108</v>
      </c>
      <c r="O151" s="135"/>
      <c r="P151" s="346">
        <f t="shared" si="69"/>
        <v>100</v>
      </c>
      <c r="Q151" s="346"/>
      <c r="R151" s="346">
        <f t="shared" si="70"/>
        <v>100</v>
      </c>
    </row>
    <row r="152" spans="1:18" ht="99.75">
      <c r="A152" s="269" t="s">
        <v>348</v>
      </c>
      <c r="B152" s="270" t="s">
        <v>468</v>
      </c>
      <c r="C152" s="129">
        <f>SUM(C153:C156)</f>
        <v>981</v>
      </c>
      <c r="D152" s="129">
        <f t="shared" ref="D152:O152" si="85">SUM(D153:D156)</f>
        <v>691</v>
      </c>
      <c r="E152" s="129">
        <f t="shared" si="85"/>
        <v>290</v>
      </c>
      <c r="F152" s="129">
        <f t="shared" si="85"/>
        <v>604.20005200000003</v>
      </c>
      <c r="G152" s="129">
        <f t="shared" si="85"/>
        <v>556.64805200000001</v>
      </c>
      <c r="H152" s="129">
        <f t="shared" si="85"/>
        <v>47.552</v>
      </c>
      <c r="I152" s="129">
        <f t="shared" si="85"/>
        <v>604.20005200000003</v>
      </c>
      <c r="J152" s="129">
        <f t="shared" si="85"/>
        <v>556.64805200000001</v>
      </c>
      <c r="K152" s="129">
        <f t="shared" si="85"/>
        <v>556.64805200000001</v>
      </c>
      <c r="L152" s="129">
        <f t="shared" si="85"/>
        <v>0</v>
      </c>
      <c r="M152" s="129">
        <f t="shared" si="85"/>
        <v>47.552</v>
      </c>
      <c r="N152" s="129">
        <f t="shared" si="85"/>
        <v>47.552</v>
      </c>
      <c r="O152" s="129">
        <f t="shared" si="85"/>
        <v>0</v>
      </c>
      <c r="P152" s="345">
        <f t="shared" si="69"/>
        <v>61.59021936799185</v>
      </c>
      <c r="Q152" s="345">
        <f t="shared" ref="Q152:Q153" si="86">G152/D152*100</f>
        <v>80.556881620839363</v>
      </c>
      <c r="R152" s="345">
        <f t="shared" si="70"/>
        <v>16.397241379310344</v>
      </c>
    </row>
    <row r="153" spans="1:18" ht="30">
      <c r="A153" s="264">
        <v>1</v>
      </c>
      <c r="B153" s="266" t="s">
        <v>469</v>
      </c>
      <c r="C153" s="135">
        <f>D153+E153</f>
        <v>691</v>
      </c>
      <c r="D153" s="135">
        <v>691</v>
      </c>
      <c r="E153" s="135"/>
      <c r="F153" s="135">
        <f t="shared" si="46"/>
        <v>556.64805200000001</v>
      </c>
      <c r="G153" s="135">
        <f t="shared" si="34"/>
        <v>556.64805200000001</v>
      </c>
      <c r="H153" s="135">
        <f t="shared" si="35"/>
        <v>0</v>
      </c>
      <c r="I153" s="135">
        <f t="shared" si="36"/>
        <v>556.64805200000001</v>
      </c>
      <c r="J153" s="135">
        <f t="shared" si="37"/>
        <v>556.64805200000001</v>
      </c>
      <c r="K153" s="135">
        <v>556.64805200000001</v>
      </c>
      <c r="L153" s="135"/>
      <c r="M153" s="135">
        <f t="shared" si="31"/>
        <v>0</v>
      </c>
      <c r="N153" s="135"/>
      <c r="O153" s="135"/>
      <c r="P153" s="346">
        <f t="shared" si="69"/>
        <v>80.556881620839363</v>
      </c>
      <c r="Q153" s="346">
        <f t="shared" si="86"/>
        <v>80.556881620839363</v>
      </c>
      <c r="R153" s="346"/>
    </row>
    <row r="154" spans="1:18">
      <c r="A154" s="264">
        <v>2</v>
      </c>
      <c r="B154" s="266" t="s">
        <v>509</v>
      </c>
      <c r="C154" s="135">
        <f t="shared" ref="C154:C156" si="87">D154+E154</f>
        <v>179</v>
      </c>
      <c r="D154" s="135"/>
      <c r="E154" s="135">
        <v>179</v>
      </c>
      <c r="F154" s="135">
        <f t="shared" ref="F154:F156" si="88">G154+H154</f>
        <v>30.4</v>
      </c>
      <c r="G154" s="135">
        <f t="shared" ref="G154:G156" si="89">J154</f>
        <v>0</v>
      </c>
      <c r="H154" s="135">
        <f t="shared" ref="H154:H156" si="90">M154</f>
        <v>30.4</v>
      </c>
      <c r="I154" s="135">
        <f t="shared" ref="I154:I156" si="91">J154+M154</f>
        <v>30.4</v>
      </c>
      <c r="J154" s="135">
        <f t="shared" ref="J154:J156" si="92">K154+L154</f>
        <v>0</v>
      </c>
      <c r="K154" s="135"/>
      <c r="L154" s="135"/>
      <c r="M154" s="135">
        <f t="shared" si="31"/>
        <v>30.4</v>
      </c>
      <c r="N154" s="135">
        <v>30.4</v>
      </c>
      <c r="O154" s="135"/>
      <c r="P154" s="346">
        <f t="shared" si="69"/>
        <v>16.983240223463685</v>
      </c>
      <c r="Q154" s="346"/>
      <c r="R154" s="346">
        <f t="shared" si="70"/>
        <v>16.983240223463685</v>
      </c>
    </row>
    <row r="155" spans="1:18">
      <c r="A155" s="264">
        <v>3</v>
      </c>
      <c r="B155" s="266" t="s">
        <v>510</v>
      </c>
      <c r="C155" s="135">
        <f t="shared" si="87"/>
        <v>69</v>
      </c>
      <c r="D155" s="135"/>
      <c r="E155" s="135">
        <v>69</v>
      </c>
      <c r="F155" s="135">
        <f t="shared" si="88"/>
        <v>17.152000000000001</v>
      </c>
      <c r="G155" s="135">
        <f t="shared" si="89"/>
        <v>0</v>
      </c>
      <c r="H155" s="135">
        <f t="shared" si="90"/>
        <v>17.152000000000001</v>
      </c>
      <c r="I155" s="135">
        <f t="shared" si="91"/>
        <v>17.152000000000001</v>
      </c>
      <c r="J155" s="135">
        <f t="shared" si="92"/>
        <v>0</v>
      </c>
      <c r="K155" s="135"/>
      <c r="L155" s="135"/>
      <c r="M155" s="135">
        <f t="shared" ref="M155:M156" si="93">N155+O155</f>
        <v>17.152000000000001</v>
      </c>
      <c r="N155" s="135">
        <v>17.152000000000001</v>
      </c>
      <c r="O155" s="135"/>
      <c r="P155" s="346">
        <f t="shared" si="69"/>
        <v>24.857971014492755</v>
      </c>
      <c r="Q155" s="346"/>
      <c r="R155" s="346">
        <f t="shared" si="70"/>
        <v>24.857971014492755</v>
      </c>
    </row>
    <row r="156" spans="1:18" ht="30">
      <c r="A156" s="264">
        <v>4</v>
      </c>
      <c r="B156" s="266" t="s">
        <v>511</v>
      </c>
      <c r="C156" s="135">
        <f t="shared" si="87"/>
        <v>42</v>
      </c>
      <c r="D156" s="135"/>
      <c r="E156" s="135">
        <v>42</v>
      </c>
      <c r="F156" s="135">
        <f t="shared" si="88"/>
        <v>0</v>
      </c>
      <c r="G156" s="135">
        <f t="shared" si="89"/>
        <v>0</v>
      </c>
      <c r="H156" s="135">
        <f t="shared" si="90"/>
        <v>0</v>
      </c>
      <c r="I156" s="135">
        <f t="shared" si="91"/>
        <v>0</v>
      </c>
      <c r="J156" s="135">
        <f t="shared" si="92"/>
        <v>0</v>
      </c>
      <c r="K156" s="135"/>
      <c r="L156" s="135"/>
      <c r="M156" s="135">
        <f t="shared" si="93"/>
        <v>0</v>
      </c>
      <c r="N156" s="135"/>
      <c r="O156" s="135"/>
      <c r="P156" s="346">
        <f t="shared" si="69"/>
        <v>0</v>
      </c>
      <c r="Q156" s="346"/>
      <c r="R156" s="346">
        <f t="shared" si="70"/>
        <v>0</v>
      </c>
    </row>
  </sheetData>
  <mergeCells count="30">
    <mergeCell ref="D7:D9"/>
    <mergeCell ref="E7:E9"/>
    <mergeCell ref="G7:G9"/>
    <mergeCell ref="H7:H9"/>
    <mergeCell ref="I7:I9"/>
    <mergeCell ref="A1:B1"/>
    <mergeCell ref="F6:F9"/>
    <mergeCell ref="G6:H6"/>
    <mergeCell ref="I6:O6"/>
    <mergeCell ref="P6:P9"/>
    <mergeCell ref="J7:L7"/>
    <mergeCell ref="M7:O7"/>
    <mergeCell ref="A2:R2"/>
    <mergeCell ref="A3:R3"/>
    <mergeCell ref="A5:A9"/>
    <mergeCell ref="B5:B9"/>
    <mergeCell ref="C5:E5"/>
    <mergeCell ref="F5:O5"/>
    <mergeCell ref="P5:R5"/>
    <mergeCell ref="C6:C9"/>
    <mergeCell ref="D6:E6"/>
    <mergeCell ref="Q1:R1"/>
    <mergeCell ref="Q7:Q9"/>
    <mergeCell ref="R7:R9"/>
    <mergeCell ref="J8:J9"/>
    <mergeCell ref="K8:L8"/>
    <mergeCell ref="M8:M9"/>
    <mergeCell ref="N8:O8"/>
    <mergeCell ref="P4:R4"/>
    <mergeCell ref="Q6:R6"/>
  </mergeCells>
  <pageMargins left="0.32" right="0.28000000000000003" top="0.39" bottom="0.51" header="0.3" footer="0.3"/>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81"/>
  <sheetViews>
    <sheetView topLeftCell="A4" workbookViewId="0">
      <selection activeCell="H10" sqref="H10"/>
    </sheetView>
  </sheetViews>
  <sheetFormatPr defaultColWidth="11.140625" defaultRowHeight="15.75"/>
  <cols>
    <col min="1" max="1" width="7.85546875" style="107" customWidth="1"/>
    <col min="2" max="2" width="56.140625" style="107" customWidth="1"/>
    <col min="3" max="5" width="11.140625" style="107" customWidth="1"/>
    <col min="6" max="255" width="11.140625" style="107"/>
    <col min="256" max="256" width="7.85546875" style="107" customWidth="1"/>
    <col min="257" max="257" width="53.5703125" style="107" customWidth="1"/>
    <col min="258" max="258" width="20.5703125" style="107" customWidth="1"/>
    <col min="259" max="259" width="16.85546875" style="107" customWidth="1"/>
    <col min="260" max="260" width="15.7109375" style="107" customWidth="1"/>
    <col min="261" max="511" width="11.140625" style="107"/>
    <col min="512" max="512" width="7.85546875" style="107" customWidth="1"/>
    <col min="513" max="513" width="53.5703125" style="107" customWidth="1"/>
    <col min="514" max="514" width="20.5703125" style="107" customWidth="1"/>
    <col min="515" max="515" width="16.85546875" style="107" customWidth="1"/>
    <col min="516" max="516" width="15.7109375" style="107" customWidth="1"/>
    <col min="517" max="767" width="11.140625" style="107"/>
    <col min="768" max="768" width="7.85546875" style="107" customWidth="1"/>
    <col min="769" max="769" width="53.5703125" style="107" customWidth="1"/>
    <col min="770" max="770" width="20.5703125" style="107" customWidth="1"/>
    <col min="771" max="771" width="16.85546875" style="107" customWidth="1"/>
    <col min="772" max="772" width="15.7109375" style="107" customWidth="1"/>
    <col min="773" max="1023" width="11.140625" style="107"/>
    <col min="1024" max="1024" width="7.85546875" style="107" customWidth="1"/>
    <col min="1025" max="1025" width="53.5703125" style="107" customWidth="1"/>
    <col min="1026" max="1026" width="20.5703125" style="107" customWidth="1"/>
    <col min="1027" max="1027" width="16.85546875" style="107" customWidth="1"/>
    <col min="1028" max="1028" width="15.7109375" style="107" customWidth="1"/>
    <col min="1029" max="1279" width="11.140625" style="107"/>
    <col min="1280" max="1280" width="7.85546875" style="107" customWidth="1"/>
    <col min="1281" max="1281" width="53.5703125" style="107" customWidth="1"/>
    <col min="1282" max="1282" width="20.5703125" style="107" customWidth="1"/>
    <col min="1283" max="1283" width="16.85546875" style="107" customWidth="1"/>
    <col min="1284" max="1284" width="15.7109375" style="107" customWidth="1"/>
    <col min="1285" max="1535" width="11.140625" style="107"/>
    <col min="1536" max="1536" width="7.85546875" style="107" customWidth="1"/>
    <col min="1537" max="1537" width="53.5703125" style="107" customWidth="1"/>
    <col min="1538" max="1538" width="20.5703125" style="107" customWidth="1"/>
    <col min="1539" max="1539" width="16.85546875" style="107" customWidth="1"/>
    <col min="1540" max="1540" width="15.7109375" style="107" customWidth="1"/>
    <col min="1541" max="1791" width="11.140625" style="107"/>
    <col min="1792" max="1792" width="7.85546875" style="107" customWidth="1"/>
    <col min="1793" max="1793" width="53.5703125" style="107" customWidth="1"/>
    <col min="1794" max="1794" width="20.5703125" style="107" customWidth="1"/>
    <col min="1795" max="1795" width="16.85546875" style="107" customWidth="1"/>
    <col min="1796" max="1796" width="15.7109375" style="107" customWidth="1"/>
    <col min="1797" max="2047" width="11.140625" style="107"/>
    <col min="2048" max="2048" width="7.85546875" style="107" customWidth="1"/>
    <col min="2049" max="2049" width="53.5703125" style="107" customWidth="1"/>
    <col min="2050" max="2050" width="20.5703125" style="107" customWidth="1"/>
    <col min="2051" max="2051" width="16.85546875" style="107" customWidth="1"/>
    <col min="2052" max="2052" width="15.7109375" style="107" customWidth="1"/>
    <col min="2053" max="2303" width="11.140625" style="107"/>
    <col min="2304" max="2304" width="7.85546875" style="107" customWidth="1"/>
    <col min="2305" max="2305" width="53.5703125" style="107" customWidth="1"/>
    <col min="2306" max="2306" width="20.5703125" style="107" customWidth="1"/>
    <col min="2307" max="2307" width="16.85546875" style="107" customWidth="1"/>
    <col min="2308" max="2308" width="15.7109375" style="107" customWidth="1"/>
    <col min="2309" max="2559" width="11.140625" style="107"/>
    <col min="2560" max="2560" width="7.85546875" style="107" customWidth="1"/>
    <col min="2561" max="2561" width="53.5703125" style="107" customWidth="1"/>
    <col min="2562" max="2562" width="20.5703125" style="107" customWidth="1"/>
    <col min="2563" max="2563" width="16.85546875" style="107" customWidth="1"/>
    <col min="2564" max="2564" width="15.7109375" style="107" customWidth="1"/>
    <col min="2565" max="2815" width="11.140625" style="107"/>
    <col min="2816" max="2816" width="7.85546875" style="107" customWidth="1"/>
    <col min="2817" max="2817" width="53.5703125" style="107" customWidth="1"/>
    <col min="2818" max="2818" width="20.5703125" style="107" customWidth="1"/>
    <col min="2819" max="2819" width="16.85546875" style="107" customWidth="1"/>
    <col min="2820" max="2820" width="15.7109375" style="107" customWidth="1"/>
    <col min="2821" max="3071" width="11.140625" style="107"/>
    <col min="3072" max="3072" width="7.85546875" style="107" customWidth="1"/>
    <col min="3073" max="3073" width="53.5703125" style="107" customWidth="1"/>
    <col min="3074" max="3074" width="20.5703125" style="107" customWidth="1"/>
    <col min="3075" max="3075" width="16.85546875" style="107" customWidth="1"/>
    <col min="3076" max="3076" width="15.7109375" style="107" customWidth="1"/>
    <col min="3077" max="3327" width="11.140625" style="107"/>
    <col min="3328" max="3328" width="7.85546875" style="107" customWidth="1"/>
    <col min="3329" max="3329" width="53.5703125" style="107" customWidth="1"/>
    <col min="3330" max="3330" width="20.5703125" style="107" customWidth="1"/>
    <col min="3331" max="3331" width="16.85546875" style="107" customWidth="1"/>
    <col min="3332" max="3332" width="15.7109375" style="107" customWidth="1"/>
    <col min="3333" max="3583" width="11.140625" style="107"/>
    <col min="3584" max="3584" width="7.85546875" style="107" customWidth="1"/>
    <col min="3585" max="3585" width="53.5703125" style="107" customWidth="1"/>
    <col min="3586" max="3586" width="20.5703125" style="107" customWidth="1"/>
    <col min="3587" max="3587" width="16.85546875" style="107" customWidth="1"/>
    <col min="3588" max="3588" width="15.7109375" style="107" customWidth="1"/>
    <col min="3589" max="3839" width="11.140625" style="107"/>
    <col min="3840" max="3840" width="7.85546875" style="107" customWidth="1"/>
    <col min="3841" max="3841" width="53.5703125" style="107" customWidth="1"/>
    <col min="3842" max="3842" width="20.5703125" style="107" customWidth="1"/>
    <col min="3843" max="3843" width="16.85546875" style="107" customWidth="1"/>
    <col min="3844" max="3844" width="15.7109375" style="107" customWidth="1"/>
    <col min="3845" max="4095" width="11.140625" style="107"/>
    <col min="4096" max="4096" width="7.85546875" style="107" customWidth="1"/>
    <col min="4097" max="4097" width="53.5703125" style="107" customWidth="1"/>
    <col min="4098" max="4098" width="20.5703125" style="107" customWidth="1"/>
    <col min="4099" max="4099" width="16.85546875" style="107" customWidth="1"/>
    <col min="4100" max="4100" width="15.7109375" style="107" customWidth="1"/>
    <col min="4101" max="4351" width="11.140625" style="107"/>
    <col min="4352" max="4352" width="7.85546875" style="107" customWidth="1"/>
    <col min="4353" max="4353" width="53.5703125" style="107" customWidth="1"/>
    <col min="4354" max="4354" width="20.5703125" style="107" customWidth="1"/>
    <col min="4355" max="4355" width="16.85546875" style="107" customWidth="1"/>
    <col min="4356" max="4356" width="15.7109375" style="107" customWidth="1"/>
    <col min="4357" max="4607" width="11.140625" style="107"/>
    <col min="4608" max="4608" width="7.85546875" style="107" customWidth="1"/>
    <col min="4609" max="4609" width="53.5703125" style="107" customWidth="1"/>
    <col min="4610" max="4610" width="20.5703125" style="107" customWidth="1"/>
    <col min="4611" max="4611" width="16.85546875" style="107" customWidth="1"/>
    <col min="4612" max="4612" width="15.7109375" style="107" customWidth="1"/>
    <col min="4613" max="4863" width="11.140625" style="107"/>
    <col min="4864" max="4864" width="7.85546875" style="107" customWidth="1"/>
    <col min="4865" max="4865" width="53.5703125" style="107" customWidth="1"/>
    <col min="4866" max="4866" width="20.5703125" style="107" customWidth="1"/>
    <col min="4867" max="4867" width="16.85546875" style="107" customWidth="1"/>
    <col min="4868" max="4868" width="15.7109375" style="107" customWidth="1"/>
    <col min="4869" max="5119" width="11.140625" style="107"/>
    <col min="5120" max="5120" width="7.85546875" style="107" customWidth="1"/>
    <col min="5121" max="5121" width="53.5703125" style="107" customWidth="1"/>
    <col min="5122" max="5122" width="20.5703125" style="107" customWidth="1"/>
    <col min="5123" max="5123" width="16.85546875" style="107" customWidth="1"/>
    <col min="5124" max="5124" width="15.7109375" style="107" customWidth="1"/>
    <col min="5125" max="5375" width="11.140625" style="107"/>
    <col min="5376" max="5376" width="7.85546875" style="107" customWidth="1"/>
    <col min="5377" max="5377" width="53.5703125" style="107" customWidth="1"/>
    <col min="5378" max="5378" width="20.5703125" style="107" customWidth="1"/>
    <col min="5379" max="5379" width="16.85546875" style="107" customWidth="1"/>
    <col min="5380" max="5380" width="15.7109375" style="107" customWidth="1"/>
    <col min="5381" max="5631" width="11.140625" style="107"/>
    <col min="5632" max="5632" width="7.85546875" style="107" customWidth="1"/>
    <col min="5633" max="5633" width="53.5703125" style="107" customWidth="1"/>
    <col min="5634" max="5634" width="20.5703125" style="107" customWidth="1"/>
    <col min="5635" max="5635" width="16.85546875" style="107" customWidth="1"/>
    <col min="5636" max="5636" width="15.7109375" style="107" customWidth="1"/>
    <col min="5637" max="5887" width="11.140625" style="107"/>
    <col min="5888" max="5888" width="7.85546875" style="107" customWidth="1"/>
    <col min="5889" max="5889" width="53.5703125" style="107" customWidth="1"/>
    <col min="5890" max="5890" width="20.5703125" style="107" customWidth="1"/>
    <col min="5891" max="5891" width="16.85546875" style="107" customWidth="1"/>
    <col min="5892" max="5892" width="15.7109375" style="107" customWidth="1"/>
    <col min="5893" max="6143" width="11.140625" style="107"/>
    <col min="6144" max="6144" width="7.85546875" style="107" customWidth="1"/>
    <col min="6145" max="6145" width="53.5703125" style="107" customWidth="1"/>
    <col min="6146" max="6146" width="20.5703125" style="107" customWidth="1"/>
    <col min="6147" max="6147" width="16.85546875" style="107" customWidth="1"/>
    <col min="6148" max="6148" width="15.7109375" style="107" customWidth="1"/>
    <col min="6149" max="6399" width="11.140625" style="107"/>
    <col min="6400" max="6400" width="7.85546875" style="107" customWidth="1"/>
    <col min="6401" max="6401" width="53.5703125" style="107" customWidth="1"/>
    <col min="6402" max="6402" width="20.5703125" style="107" customWidth="1"/>
    <col min="6403" max="6403" width="16.85546875" style="107" customWidth="1"/>
    <col min="6404" max="6404" width="15.7109375" style="107" customWidth="1"/>
    <col min="6405" max="6655" width="11.140625" style="107"/>
    <col min="6656" max="6656" width="7.85546875" style="107" customWidth="1"/>
    <col min="6657" max="6657" width="53.5703125" style="107" customWidth="1"/>
    <col min="6658" max="6658" width="20.5703125" style="107" customWidth="1"/>
    <col min="6659" max="6659" width="16.85546875" style="107" customWidth="1"/>
    <col min="6660" max="6660" width="15.7109375" style="107" customWidth="1"/>
    <col min="6661" max="6911" width="11.140625" style="107"/>
    <col min="6912" max="6912" width="7.85546875" style="107" customWidth="1"/>
    <col min="6913" max="6913" width="53.5703125" style="107" customWidth="1"/>
    <col min="6914" max="6914" width="20.5703125" style="107" customWidth="1"/>
    <col min="6915" max="6915" width="16.85546875" style="107" customWidth="1"/>
    <col min="6916" max="6916" width="15.7109375" style="107" customWidth="1"/>
    <col min="6917" max="7167" width="11.140625" style="107"/>
    <col min="7168" max="7168" width="7.85546875" style="107" customWidth="1"/>
    <col min="7169" max="7169" width="53.5703125" style="107" customWidth="1"/>
    <col min="7170" max="7170" width="20.5703125" style="107" customWidth="1"/>
    <col min="7171" max="7171" width="16.85546875" style="107" customWidth="1"/>
    <col min="7172" max="7172" width="15.7109375" style="107" customWidth="1"/>
    <col min="7173" max="7423" width="11.140625" style="107"/>
    <col min="7424" max="7424" width="7.85546875" style="107" customWidth="1"/>
    <col min="7425" max="7425" width="53.5703125" style="107" customWidth="1"/>
    <col min="7426" max="7426" width="20.5703125" style="107" customWidth="1"/>
    <col min="7427" max="7427" width="16.85546875" style="107" customWidth="1"/>
    <col min="7428" max="7428" width="15.7109375" style="107" customWidth="1"/>
    <col min="7429" max="7679" width="11.140625" style="107"/>
    <col min="7680" max="7680" width="7.85546875" style="107" customWidth="1"/>
    <col min="7681" max="7681" width="53.5703125" style="107" customWidth="1"/>
    <col min="7682" max="7682" width="20.5703125" style="107" customWidth="1"/>
    <col min="7683" max="7683" width="16.85546875" style="107" customWidth="1"/>
    <col min="7684" max="7684" width="15.7109375" style="107" customWidth="1"/>
    <col min="7685" max="7935" width="11.140625" style="107"/>
    <col min="7936" max="7936" width="7.85546875" style="107" customWidth="1"/>
    <col min="7937" max="7937" width="53.5703125" style="107" customWidth="1"/>
    <col min="7938" max="7938" width="20.5703125" style="107" customWidth="1"/>
    <col min="7939" max="7939" width="16.85546875" style="107" customWidth="1"/>
    <col min="7940" max="7940" width="15.7109375" style="107" customWidth="1"/>
    <col min="7941" max="8191" width="11.140625" style="107"/>
    <col min="8192" max="8192" width="7.85546875" style="107" customWidth="1"/>
    <col min="8193" max="8193" width="53.5703125" style="107" customWidth="1"/>
    <col min="8194" max="8194" width="20.5703125" style="107" customWidth="1"/>
    <col min="8195" max="8195" width="16.85546875" style="107" customWidth="1"/>
    <col min="8196" max="8196" width="15.7109375" style="107" customWidth="1"/>
    <col min="8197" max="8447" width="11.140625" style="107"/>
    <col min="8448" max="8448" width="7.85546875" style="107" customWidth="1"/>
    <col min="8449" max="8449" width="53.5703125" style="107" customWidth="1"/>
    <col min="8450" max="8450" width="20.5703125" style="107" customWidth="1"/>
    <col min="8451" max="8451" width="16.85546875" style="107" customWidth="1"/>
    <col min="8452" max="8452" width="15.7109375" style="107" customWidth="1"/>
    <col min="8453" max="8703" width="11.140625" style="107"/>
    <col min="8704" max="8704" width="7.85546875" style="107" customWidth="1"/>
    <col min="8705" max="8705" width="53.5703125" style="107" customWidth="1"/>
    <col min="8706" max="8706" width="20.5703125" style="107" customWidth="1"/>
    <col min="8707" max="8707" width="16.85546875" style="107" customWidth="1"/>
    <col min="8708" max="8708" width="15.7109375" style="107" customWidth="1"/>
    <col min="8709" max="8959" width="11.140625" style="107"/>
    <col min="8960" max="8960" width="7.85546875" style="107" customWidth="1"/>
    <col min="8961" max="8961" width="53.5703125" style="107" customWidth="1"/>
    <col min="8962" max="8962" width="20.5703125" style="107" customWidth="1"/>
    <col min="8963" max="8963" width="16.85546875" style="107" customWidth="1"/>
    <col min="8964" max="8964" width="15.7109375" style="107" customWidth="1"/>
    <col min="8965" max="9215" width="11.140625" style="107"/>
    <col min="9216" max="9216" width="7.85546875" style="107" customWidth="1"/>
    <col min="9217" max="9217" width="53.5703125" style="107" customWidth="1"/>
    <col min="9218" max="9218" width="20.5703125" style="107" customWidth="1"/>
    <col min="9219" max="9219" width="16.85546875" style="107" customWidth="1"/>
    <col min="9220" max="9220" width="15.7109375" style="107" customWidth="1"/>
    <col min="9221" max="9471" width="11.140625" style="107"/>
    <col min="9472" max="9472" width="7.85546875" style="107" customWidth="1"/>
    <col min="9473" max="9473" width="53.5703125" style="107" customWidth="1"/>
    <col min="9474" max="9474" width="20.5703125" style="107" customWidth="1"/>
    <col min="9475" max="9475" width="16.85546875" style="107" customWidth="1"/>
    <col min="9476" max="9476" width="15.7109375" style="107" customWidth="1"/>
    <col min="9477" max="9727" width="11.140625" style="107"/>
    <col min="9728" max="9728" width="7.85546875" style="107" customWidth="1"/>
    <col min="9729" max="9729" width="53.5703125" style="107" customWidth="1"/>
    <col min="9730" max="9730" width="20.5703125" style="107" customWidth="1"/>
    <col min="9731" max="9731" width="16.85546875" style="107" customWidth="1"/>
    <col min="9732" max="9732" width="15.7109375" style="107" customWidth="1"/>
    <col min="9733" max="9983" width="11.140625" style="107"/>
    <col min="9984" max="9984" width="7.85546875" style="107" customWidth="1"/>
    <col min="9985" max="9985" width="53.5703125" style="107" customWidth="1"/>
    <col min="9986" max="9986" width="20.5703125" style="107" customWidth="1"/>
    <col min="9987" max="9987" width="16.85546875" style="107" customWidth="1"/>
    <col min="9988" max="9988" width="15.7109375" style="107" customWidth="1"/>
    <col min="9989" max="10239" width="11.140625" style="107"/>
    <col min="10240" max="10240" width="7.85546875" style="107" customWidth="1"/>
    <col min="10241" max="10241" width="53.5703125" style="107" customWidth="1"/>
    <col min="10242" max="10242" width="20.5703125" style="107" customWidth="1"/>
    <col min="10243" max="10243" width="16.85546875" style="107" customWidth="1"/>
    <col min="10244" max="10244" width="15.7109375" style="107" customWidth="1"/>
    <col min="10245" max="10495" width="11.140625" style="107"/>
    <col min="10496" max="10496" width="7.85546875" style="107" customWidth="1"/>
    <col min="10497" max="10497" width="53.5703125" style="107" customWidth="1"/>
    <col min="10498" max="10498" width="20.5703125" style="107" customWidth="1"/>
    <col min="10499" max="10499" width="16.85546875" style="107" customWidth="1"/>
    <col min="10500" max="10500" width="15.7109375" style="107" customWidth="1"/>
    <col min="10501" max="10751" width="11.140625" style="107"/>
    <col min="10752" max="10752" width="7.85546875" style="107" customWidth="1"/>
    <col min="10753" max="10753" width="53.5703125" style="107" customWidth="1"/>
    <col min="10754" max="10754" width="20.5703125" style="107" customWidth="1"/>
    <col min="10755" max="10755" width="16.85546875" style="107" customWidth="1"/>
    <col min="10756" max="10756" width="15.7109375" style="107" customWidth="1"/>
    <col min="10757" max="11007" width="11.140625" style="107"/>
    <col min="11008" max="11008" width="7.85546875" style="107" customWidth="1"/>
    <col min="11009" max="11009" width="53.5703125" style="107" customWidth="1"/>
    <col min="11010" max="11010" width="20.5703125" style="107" customWidth="1"/>
    <col min="11011" max="11011" width="16.85546875" style="107" customWidth="1"/>
    <col min="11012" max="11012" width="15.7109375" style="107" customWidth="1"/>
    <col min="11013" max="11263" width="11.140625" style="107"/>
    <col min="11264" max="11264" width="7.85546875" style="107" customWidth="1"/>
    <col min="11265" max="11265" width="53.5703125" style="107" customWidth="1"/>
    <col min="11266" max="11266" width="20.5703125" style="107" customWidth="1"/>
    <col min="11267" max="11267" width="16.85546875" style="107" customWidth="1"/>
    <col min="11268" max="11268" width="15.7109375" style="107" customWidth="1"/>
    <col min="11269" max="11519" width="11.140625" style="107"/>
    <col min="11520" max="11520" width="7.85546875" style="107" customWidth="1"/>
    <col min="11521" max="11521" width="53.5703125" style="107" customWidth="1"/>
    <col min="11522" max="11522" width="20.5703125" style="107" customWidth="1"/>
    <col min="11523" max="11523" width="16.85546875" style="107" customWidth="1"/>
    <col min="11524" max="11524" width="15.7109375" style="107" customWidth="1"/>
    <col min="11525" max="11775" width="11.140625" style="107"/>
    <col min="11776" max="11776" width="7.85546875" style="107" customWidth="1"/>
    <col min="11777" max="11777" width="53.5703125" style="107" customWidth="1"/>
    <col min="11778" max="11778" width="20.5703125" style="107" customWidth="1"/>
    <col min="11779" max="11779" width="16.85546875" style="107" customWidth="1"/>
    <col min="11780" max="11780" width="15.7109375" style="107" customWidth="1"/>
    <col min="11781" max="12031" width="11.140625" style="107"/>
    <col min="12032" max="12032" width="7.85546875" style="107" customWidth="1"/>
    <col min="12033" max="12033" width="53.5703125" style="107" customWidth="1"/>
    <col min="12034" max="12034" width="20.5703125" style="107" customWidth="1"/>
    <col min="12035" max="12035" width="16.85546875" style="107" customWidth="1"/>
    <col min="12036" max="12036" width="15.7109375" style="107" customWidth="1"/>
    <col min="12037" max="12287" width="11.140625" style="107"/>
    <col min="12288" max="12288" width="7.85546875" style="107" customWidth="1"/>
    <col min="12289" max="12289" width="53.5703125" style="107" customWidth="1"/>
    <col min="12290" max="12290" width="20.5703125" style="107" customWidth="1"/>
    <col min="12291" max="12291" width="16.85546875" style="107" customWidth="1"/>
    <col min="12292" max="12292" width="15.7109375" style="107" customWidth="1"/>
    <col min="12293" max="12543" width="11.140625" style="107"/>
    <col min="12544" max="12544" width="7.85546875" style="107" customWidth="1"/>
    <col min="12545" max="12545" width="53.5703125" style="107" customWidth="1"/>
    <col min="12546" max="12546" width="20.5703125" style="107" customWidth="1"/>
    <col min="12547" max="12547" width="16.85546875" style="107" customWidth="1"/>
    <col min="12548" max="12548" width="15.7109375" style="107" customWidth="1"/>
    <col min="12549" max="12799" width="11.140625" style="107"/>
    <col min="12800" max="12800" width="7.85546875" style="107" customWidth="1"/>
    <col min="12801" max="12801" width="53.5703125" style="107" customWidth="1"/>
    <col min="12802" max="12802" width="20.5703125" style="107" customWidth="1"/>
    <col min="12803" max="12803" width="16.85546875" style="107" customWidth="1"/>
    <col min="12804" max="12804" width="15.7109375" style="107" customWidth="1"/>
    <col min="12805" max="13055" width="11.140625" style="107"/>
    <col min="13056" max="13056" width="7.85546875" style="107" customWidth="1"/>
    <col min="13057" max="13057" width="53.5703125" style="107" customWidth="1"/>
    <col min="13058" max="13058" width="20.5703125" style="107" customWidth="1"/>
    <col min="13059" max="13059" width="16.85546875" style="107" customWidth="1"/>
    <col min="13060" max="13060" width="15.7109375" style="107" customWidth="1"/>
    <col min="13061" max="13311" width="11.140625" style="107"/>
    <col min="13312" max="13312" width="7.85546875" style="107" customWidth="1"/>
    <col min="13313" max="13313" width="53.5703125" style="107" customWidth="1"/>
    <col min="13314" max="13314" width="20.5703125" style="107" customWidth="1"/>
    <col min="13315" max="13315" width="16.85546875" style="107" customWidth="1"/>
    <col min="13316" max="13316" width="15.7109375" style="107" customWidth="1"/>
    <col min="13317" max="13567" width="11.140625" style="107"/>
    <col min="13568" max="13568" width="7.85546875" style="107" customWidth="1"/>
    <col min="13569" max="13569" width="53.5703125" style="107" customWidth="1"/>
    <col min="13570" max="13570" width="20.5703125" style="107" customWidth="1"/>
    <col min="13571" max="13571" width="16.85546875" style="107" customWidth="1"/>
    <col min="13572" max="13572" width="15.7109375" style="107" customWidth="1"/>
    <col min="13573" max="13823" width="11.140625" style="107"/>
    <col min="13824" max="13824" width="7.85546875" style="107" customWidth="1"/>
    <col min="13825" max="13825" width="53.5703125" style="107" customWidth="1"/>
    <col min="13826" max="13826" width="20.5703125" style="107" customWidth="1"/>
    <col min="13827" max="13827" width="16.85546875" style="107" customWidth="1"/>
    <col min="13828" max="13828" width="15.7109375" style="107" customWidth="1"/>
    <col min="13829" max="14079" width="11.140625" style="107"/>
    <col min="14080" max="14080" width="7.85546875" style="107" customWidth="1"/>
    <col min="14081" max="14081" width="53.5703125" style="107" customWidth="1"/>
    <col min="14082" max="14082" width="20.5703125" style="107" customWidth="1"/>
    <col min="14083" max="14083" width="16.85546875" style="107" customWidth="1"/>
    <col min="14084" max="14084" width="15.7109375" style="107" customWidth="1"/>
    <col min="14085" max="14335" width="11.140625" style="107"/>
    <col min="14336" max="14336" width="7.85546875" style="107" customWidth="1"/>
    <col min="14337" max="14337" width="53.5703125" style="107" customWidth="1"/>
    <col min="14338" max="14338" width="20.5703125" style="107" customWidth="1"/>
    <col min="14339" max="14339" width="16.85546875" style="107" customWidth="1"/>
    <col min="14340" max="14340" width="15.7109375" style="107" customWidth="1"/>
    <col min="14341" max="14591" width="11.140625" style="107"/>
    <col min="14592" max="14592" width="7.85546875" style="107" customWidth="1"/>
    <col min="14593" max="14593" width="53.5703125" style="107" customWidth="1"/>
    <col min="14594" max="14594" width="20.5703125" style="107" customWidth="1"/>
    <col min="14595" max="14595" width="16.85546875" style="107" customWidth="1"/>
    <col min="14596" max="14596" width="15.7109375" style="107" customWidth="1"/>
    <col min="14597" max="14847" width="11.140625" style="107"/>
    <col min="14848" max="14848" width="7.85546875" style="107" customWidth="1"/>
    <col min="14849" max="14849" width="53.5703125" style="107" customWidth="1"/>
    <col min="14850" max="14850" width="20.5703125" style="107" customWidth="1"/>
    <col min="14851" max="14851" width="16.85546875" style="107" customWidth="1"/>
    <col min="14852" max="14852" width="15.7109375" style="107" customWidth="1"/>
    <col min="14853" max="15103" width="11.140625" style="107"/>
    <col min="15104" max="15104" width="7.85546875" style="107" customWidth="1"/>
    <col min="15105" max="15105" width="53.5703125" style="107" customWidth="1"/>
    <col min="15106" max="15106" width="20.5703125" style="107" customWidth="1"/>
    <col min="15107" max="15107" width="16.85546875" style="107" customWidth="1"/>
    <col min="15108" max="15108" width="15.7109375" style="107" customWidth="1"/>
    <col min="15109" max="15359" width="11.140625" style="107"/>
    <col min="15360" max="15360" width="7.85546875" style="107" customWidth="1"/>
    <col min="15361" max="15361" width="53.5703125" style="107" customWidth="1"/>
    <col min="15362" max="15362" width="20.5703125" style="107" customWidth="1"/>
    <col min="15363" max="15363" width="16.85546875" style="107" customWidth="1"/>
    <col min="15364" max="15364" width="15.7109375" style="107" customWidth="1"/>
    <col min="15365" max="15615" width="11.140625" style="107"/>
    <col min="15616" max="15616" width="7.85546875" style="107" customWidth="1"/>
    <col min="15617" max="15617" width="53.5703125" style="107" customWidth="1"/>
    <col min="15618" max="15618" width="20.5703125" style="107" customWidth="1"/>
    <col min="15619" max="15619" width="16.85546875" style="107" customWidth="1"/>
    <col min="15620" max="15620" width="15.7109375" style="107" customWidth="1"/>
    <col min="15621" max="15871" width="11.140625" style="107"/>
    <col min="15872" max="15872" width="7.85546875" style="107" customWidth="1"/>
    <col min="15873" max="15873" width="53.5703125" style="107" customWidth="1"/>
    <col min="15874" max="15874" width="20.5703125" style="107" customWidth="1"/>
    <col min="15875" max="15875" width="16.85546875" style="107" customWidth="1"/>
    <col min="15876" max="15876" width="15.7109375" style="107" customWidth="1"/>
    <col min="15877" max="16127" width="11.140625" style="107"/>
    <col min="16128" max="16128" width="7.85546875" style="107" customWidth="1"/>
    <col min="16129" max="16129" width="53.5703125" style="107" customWidth="1"/>
    <col min="16130" max="16130" width="20.5703125" style="107" customWidth="1"/>
    <col min="16131" max="16131" width="16.85546875" style="107" customWidth="1"/>
    <col min="16132" max="16132" width="15.7109375" style="107" customWidth="1"/>
    <col min="16133" max="16384" width="11.140625" style="107"/>
  </cols>
  <sheetData>
    <row r="1" spans="1:10" s="149" customFormat="1" ht="27.75" customHeight="1">
      <c r="A1" s="177" t="s">
        <v>517</v>
      </c>
      <c r="B1" s="177"/>
      <c r="C1" s="177"/>
      <c r="D1" s="412" t="s">
        <v>392</v>
      </c>
      <c r="E1" s="412"/>
    </row>
    <row r="2" spans="1:10" s="149" customFormat="1" ht="18.75" customHeight="1">
      <c r="A2" s="150"/>
      <c r="E2" s="178"/>
    </row>
    <row r="3" spans="1:10" ht="18.75" customHeight="1">
      <c r="A3" s="413" t="s">
        <v>406</v>
      </c>
      <c r="B3" s="413"/>
      <c r="C3" s="413"/>
      <c r="D3" s="413"/>
      <c r="E3" s="413"/>
    </row>
    <row r="4" spans="1:10" ht="18.75" customHeight="1">
      <c r="A4" s="413" t="s">
        <v>349</v>
      </c>
      <c r="B4" s="413"/>
      <c r="C4" s="413"/>
      <c r="D4" s="413"/>
      <c r="E4" s="413"/>
    </row>
    <row r="5" spans="1:10" ht="38.85" customHeight="1">
      <c r="A5" s="411" t="str">
        <f>'61'!A3:R3</f>
        <v>(Kèm theo Nghị quyết số            /NQ-HĐND ngày     tháng     năm 2023 của Hội đồng nhân dân huyện)</v>
      </c>
      <c r="B5" s="411"/>
      <c r="C5" s="411"/>
      <c r="D5" s="411"/>
      <c r="E5" s="411"/>
      <c r="F5" s="179"/>
      <c r="G5" s="179"/>
      <c r="H5" s="179"/>
      <c r="I5" s="179"/>
      <c r="J5" s="179"/>
    </row>
    <row r="6" spans="1:10" ht="18.75" customHeight="1">
      <c r="D6" s="414" t="s">
        <v>15</v>
      </c>
      <c r="E6" s="414"/>
    </row>
    <row r="7" spans="1:10" s="106" customFormat="1" ht="81.75" customHeight="1">
      <c r="A7" s="186" t="s">
        <v>0</v>
      </c>
      <c r="B7" s="186" t="s">
        <v>2</v>
      </c>
      <c r="C7" s="231" t="s">
        <v>408</v>
      </c>
      <c r="D7" s="186" t="s">
        <v>409</v>
      </c>
      <c r="E7" s="231" t="s">
        <v>69</v>
      </c>
    </row>
    <row r="8" spans="1:10" s="187" customFormat="1" ht="17.25" customHeight="1">
      <c r="A8" s="186" t="s">
        <v>22</v>
      </c>
      <c r="B8" s="186" t="s">
        <v>23</v>
      </c>
      <c r="C8" s="186">
        <v>1</v>
      </c>
      <c r="D8" s="186">
        <v>2</v>
      </c>
      <c r="E8" s="305" t="s">
        <v>129</v>
      </c>
    </row>
    <row r="9" spans="1:10" s="149" customFormat="1" ht="28.5" customHeight="1">
      <c r="A9" s="306"/>
      <c r="B9" s="307" t="s">
        <v>266</v>
      </c>
      <c r="C9" s="308">
        <f>C10+C13+C14+C15+C16+C17</f>
        <v>115.655</v>
      </c>
      <c r="D9" s="309">
        <f>D10+D13+D14+D15+D16+D17</f>
        <v>62.657093000000003</v>
      </c>
      <c r="E9" s="310"/>
    </row>
    <row r="10" spans="1:10" s="149" customFormat="1" ht="28.5" customHeight="1">
      <c r="A10" s="311">
        <v>1</v>
      </c>
      <c r="B10" s="312" t="s">
        <v>350</v>
      </c>
      <c r="C10" s="313">
        <f>C11+C12</f>
        <v>45.795000000000002</v>
      </c>
      <c r="D10" s="314">
        <v>0</v>
      </c>
      <c r="E10" s="315">
        <f>D10/C10*100</f>
        <v>0</v>
      </c>
    </row>
    <row r="11" spans="1:10" s="188" customFormat="1" ht="28.5" customHeight="1">
      <c r="A11" s="316" t="s">
        <v>28</v>
      </c>
      <c r="B11" s="317" t="s">
        <v>351</v>
      </c>
      <c r="C11" s="318">
        <v>45.795000000000002</v>
      </c>
      <c r="D11" s="319">
        <v>0</v>
      </c>
      <c r="E11" s="315">
        <f>D11/C11*100</f>
        <v>0</v>
      </c>
    </row>
    <row r="12" spans="1:10" s="188" customFormat="1" ht="28.5" customHeight="1">
      <c r="A12" s="316" t="s">
        <v>28</v>
      </c>
      <c r="B12" s="317" t="s">
        <v>352</v>
      </c>
      <c r="C12" s="320"/>
      <c r="D12" s="320"/>
      <c r="E12" s="315"/>
    </row>
    <row r="13" spans="1:10" s="188" customFormat="1" ht="28.5" customHeight="1">
      <c r="A13" s="311">
        <v>2</v>
      </c>
      <c r="B13" s="312" t="s">
        <v>353</v>
      </c>
      <c r="C13" s="320"/>
      <c r="D13" s="320"/>
      <c r="E13" s="315"/>
    </row>
    <row r="14" spans="1:10" s="106" customFormat="1" ht="28.5" customHeight="1">
      <c r="A14" s="311">
        <v>3</v>
      </c>
      <c r="B14" s="312" t="s">
        <v>407</v>
      </c>
      <c r="C14" s="315">
        <v>69.86</v>
      </c>
      <c r="D14" s="315">
        <v>62.657093000000003</v>
      </c>
      <c r="E14" s="315">
        <f>D14/C14*100</f>
        <v>89.689511880904675</v>
      </c>
    </row>
    <row r="15" spans="1:10" s="188" customFormat="1" ht="28.5" customHeight="1">
      <c r="A15" s="311">
        <v>4</v>
      </c>
      <c r="B15" s="312" t="s">
        <v>354</v>
      </c>
      <c r="C15" s="320"/>
      <c r="D15" s="320"/>
      <c r="E15" s="315"/>
    </row>
    <row r="16" spans="1:10" s="188" customFormat="1" ht="28.5" customHeight="1">
      <c r="A16" s="311">
        <v>5</v>
      </c>
      <c r="B16" s="312" t="s">
        <v>355</v>
      </c>
      <c r="C16" s="320"/>
      <c r="D16" s="320"/>
      <c r="E16" s="315"/>
    </row>
    <row r="17" spans="1:5" s="188" customFormat="1" ht="28.5" customHeight="1">
      <c r="A17" s="311">
        <v>6</v>
      </c>
      <c r="B17" s="312" t="s">
        <v>356</v>
      </c>
      <c r="C17" s="320"/>
      <c r="D17" s="320"/>
      <c r="E17" s="315"/>
    </row>
    <row r="19" spans="1:5" s="151" customFormat="1" ht="28.5" customHeight="1"/>
    <row r="20" spans="1:5" hidden="1">
      <c r="B20" s="152" t="s">
        <v>357</v>
      </c>
    </row>
    <row r="21" spans="1:5" hidden="1">
      <c r="B21" s="152" t="s">
        <v>358</v>
      </c>
    </row>
    <row r="45" spans="1:5" hidden="1">
      <c r="A45" s="150"/>
      <c r="B45" s="149"/>
      <c r="C45" s="149"/>
      <c r="D45" s="178"/>
      <c r="E45" s="189" t="s">
        <v>359</v>
      </c>
    </row>
    <row r="46" spans="1:5" hidden="1">
      <c r="A46" s="150"/>
      <c r="B46" s="149"/>
      <c r="C46" s="149"/>
      <c r="D46" s="149"/>
      <c r="E46" s="178"/>
    </row>
    <row r="47" spans="1:5" hidden="1">
      <c r="A47" s="413" t="s">
        <v>360</v>
      </c>
      <c r="B47" s="413"/>
      <c r="C47" s="413"/>
      <c r="D47" s="413"/>
      <c r="E47" s="413"/>
    </row>
    <row r="48" spans="1:5" hidden="1">
      <c r="A48" s="413" t="s">
        <v>361</v>
      </c>
      <c r="B48" s="413"/>
      <c r="C48" s="413"/>
      <c r="D48" s="413"/>
      <c r="E48" s="413"/>
    </row>
    <row r="49" spans="1:5" hidden="1">
      <c r="A49" s="351" t="s">
        <v>362</v>
      </c>
      <c r="B49" s="351"/>
      <c r="C49" s="351"/>
      <c r="D49" s="351"/>
      <c r="E49" s="351"/>
    </row>
    <row r="50" spans="1:5" hidden="1">
      <c r="A50" s="227"/>
      <c r="B50" s="227"/>
      <c r="C50" s="227"/>
      <c r="D50" s="227"/>
      <c r="E50" s="227"/>
    </row>
    <row r="51" spans="1:5" ht="16.5" hidden="1" thickBot="1">
      <c r="D51" s="180"/>
      <c r="E51" s="180" t="s">
        <v>15</v>
      </c>
    </row>
    <row r="52" spans="1:5" ht="47.25" hidden="1">
      <c r="A52" s="181" t="s">
        <v>0</v>
      </c>
      <c r="B52" s="182" t="s">
        <v>2</v>
      </c>
      <c r="C52" s="184" t="s">
        <v>363</v>
      </c>
      <c r="D52" s="183" t="s">
        <v>364</v>
      </c>
      <c r="E52" s="185" t="s">
        <v>69</v>
      </c>
    </row>
    <row r="53" spans="1:5" hidden="1">
      <c r="A53" s="190"/>
      <c r="B53" s="191"/>
      <c r="C53" s="410" t="s">
        <v>266</v>
      </c>
      <c r="D53" s="410" t="s">
        <v>266</v>
      </c>
      <c r="E53" s="192"/>
    </row>
    <row r="54" spans="1:5" hidden="1">
      <c r="A54" s="193"/>
      <c r="B54" s="194"/>
      <c r="C54" s="410"/>
      <c r="D54" s="410"/>
      <c r="E54" s="195"/>
    </row>
    <row r="55" spans="1:5" hidden="1">
      <c r="A55" s="196" t="s">
        <v>22</v>
      </c>
      <c r="B55" s="186" t="s">
        <v>23</v>
      </c>
      <c r="C55" s="186">
        <v>1</v>
      </c>
      <c r="D55" s="186">
        <v>2</v>
      </c>
      <c r="E55" s="197" t="s">
        <v>129</v>
      </c>
    </row>
    <row r="56" spans="1:5" hidden="1">
      <c r="A56" s="153"/>
      <c r="B56" s="198" t="s">
        <v>266</v>
      </c>
      <c r="C56" s="199"/>
      <c r="D56" s="199"/>
      <c r="E56" s="154"/>
    </row>
    <row r="57" spans="1:5" hidden="1">
      <c r="A57" s="155"/>
      <c r="B57" s="200" t="s">
        <v>162</v>
      </c>
      <c r="C57" s="201"/>
      <c r="D57" s="201"/>
      <c r="E57" s="202"/>
    </row>
    <row r="58" spans="1:5" hidden="1">
      <c r="A58" s="155"/>
      <c r="B58" s="203" t="s">
        <v>365</v>
      </c>
      <c r="C58" s="201"/>
      <c r="D58" s="201"/>
      <c r="E58" s="202"/>
    </row>
    <row r="59" spans="1:5" hidden="1">
      <c r="A59" s="155"/>
      <c r="B59" s="203" t="s">
        <v>366</v>
      </c>
      <c r="C59" s="201"/>
      <c r="D59" s="201"/>
      <c r="E59" s="202"/>
    </row>
    <row r="60" spans="1:5" hidden="1">
      <c r="A60" s="155"/>
      <c r="B60" s="203" t="s">
        <v>367</v>
      </c>
      <c r="C60" s="201"/>
      <c r="D60" s="201"/>
      <c r="E60" s="202"/>
    </row>
    <row r="61" spans="1:5" hidden="1">
      <c r="A61" s="156">
        <v>1</v>
      </c>
      <c r="B61" s="204" t="s">
        <v>368</v>
      </c>
      <c r="C61" s="205"/>
      <c r="D61" s="205"/>
      <c r="E61" s="206"/>
    </row>
    <row r="62" spans="1:5" hidden="1">
      <c r="A62" s="155"/>
      <c r="B62" s="200" t="s">
        <v>162</v>
      </c>
      <c r="C62" s="201"/>
      <c r="D62" s="201"/>
      <c r="E62" s="202"/>
    </row>
    <row r="63" spans="1:5" hidden="1">
      <c r="A63" s="155"/>
      <c r="B63" s="203" t="s">
        <v>365</v>
      </c>
      <c r="C63" s="201"/>
      <c r="D63" s="201"/>
      <c r="E63" s="202"/>
    </row>
    <row r="64" spans="1:5" hidden="1">
      <c r="A64" s="155"/>
      <c r="B64" s="203" t="s">
        <v>366</v>
      </c>
      <c r="C64" s="201"/>
      <c r="D64" s="201"/>
      <c r="E64" s="202"/>
    </row>
    <row r="65" spans="1:5" hidden="1">
      <c r="A65" s="155"/>
      <c r="B65" s="203" t="s">
        <v>367</v>
      </c>
      <c r="C65" s="201"/>
      <c r="D65" s="201"/>
      <c r="E65" s="202"/>
    </row>
    <row r="66" spans="1:5" hidden="1">
      <c r="A66" s="156">
        <v>2</v>
      </c>
      <c r="B66" s="204" t="s">
        <v>369</v>
      </c>
      <c r="C66" s="207"/>
      <c r="D66" s="207"/>
      <c r="E66" s="208"/>
    </row>
    <row r="67" spans="1:5" hidden="1">
      <c r="A67" s="155"/>
      <c r="B67" s="200" t="s">
        <v>162</v>
      </c>
      <c r="C67" s="207"/>
      <c r="D67" s="207"/>
      <c r="E67" s="208"/>
    </row>
    <row r="68" spans="1:5" hidden="1">
      <c r="A68" s="155"/>
      <c r="B68" s="203" t="s">
        <v>365</v>
      </c>
      <c r="C68" s="207"/>
      <c r="D68" s="207"/>
      <c r="E68" s="208"/>
    </row>
    <row r="69" spans="1:5" hidden="1">
      <c r="A69" s="155"/>
      <c r="B69" s="203" t="s">
        <v>366</v>
      </c>
      <c r="C69" s="207"/>
      <c r="D69" s="207"/>
      <c r="E69" s="208"/>
    </row>
    <row r="70" spans="1:5" hidden="1">
      <c r="A70" s="155"/>
      <c r="B70" s="203" t="s">
        <v>367</v>
      </c>
      <c r="C70" s="201"/>
      <c r="D70" s="201"/>
      <c r="E70" s="202"/>
    </row>
    <row r="71" spans="1:5" hidden="1">
      <c r="A71" s="156">
        <v>3</v>
      </c>
      <c r="B71" s="204" t="s">
        <v>370</v>
      </c>
      <c r="C71" s="207"/>
      <c r="D71" s="207"/>
      <c r="E71" s="208"/>
    </row>
    <row r="72" spans="1:5" hidden="1">
      <c r="A72" s="155"/>
      <c r="B72" s="200" t="s">
        <v>162</v>
      </c>
      <c r="C72" s="207"/>
      <c r="D72" s="207"/>
      <c r="E72" s="208"/>
    </row>
    <row r="73" spans="1:5" hidden="1">
      <c r="A73" s="155"/>
      <c r="B73" s="203" t="s">
        <v>365</v>
      </c>
      <c r="C73" s="207"/>
      <c r="D73" s="207"/>
      <c r="E73" s="208"/>
    </row>
    <row r="74" spans="1:5" hidden="1">
      <c r="A74" s="155"/>
      <c r="B74" s="203" t="s">
        <v>366</v>
      </c>
      <c r="C74" s="207"/>
      <c r="D74" s="207"/>
      <c r="E74" s="208"/>
    </row>
    <row r="75" spans="1:5" hidden="1">
      <c r="A75" s="155"/>
      <c r="B75" s="203" t="s">
        <v>367</v>
      </c>
      <c r="C75" s="201"/>
      <c r="D75" s="201"/>
      <c r="E75" s="202"/>
    </row>
    <row r="76" spans="1:5" ht="16.5" hidden="1" thickBot="1">
      <c r="A76" s="157"/>
      <c r="B76" s="209"/>
      <c r="C76" s="158"/>
      <c r="D76" s="158"/>
      <c r="E76" s="159"/>
    </row>
    <row r="77" spans="1:5" hidden="1"/>
    <row r="78" spans="1:5" hidden="1"/>
    <row r="79" spans="1:5" hidden="1"/>
    <row r="80" spans="1:5" hidden="1"/>
    <row r="81" hidden="1"/>
  </sheetData>
  <mergeCells count="10">
    <mergeCell ref="C53:C54"/>
    <mergeCell ref="D53:D54"/>
    <mergeCell ref="A5:E5"/>
    <mergeCell ref="D1:E1"/>
    <mergeCell ref="A3:E3"/>
    <mergeCell ref="A4:E4"/>
    <mergeCell ref="A47:E47"/>
    <mergeCell ref="A48:E48"/>
    <mergeCell ref="A49:E49"/>
    <mergeCell ref="D6:E6"/>
  </mergeCells>
  <pageMargins left="0.28000000000000003" right="0.3" top="0.54"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44"/>
  <sheetViews>
    <sheetView tabSelected="1" topLeftCell="A37" workbookViewId="0">
      <selection activeCell="F9" sqref="F9"/>
    </sheetView>
  </sheetViews>
  <sheetFormatPr defaultColWidth="8.85546875" defaultRowHeight="15"/>
  <cols>
    <col min="1" max="1" width="6.140625" style="3" customWidth="1"/>
    <col min="2" max="2" width="44.85546875" style="3" customWidth="1"/>
    <col min="3" max="3" width="16.140625" style="4" customWidth="1"/>
    <col min="4" max="4" width="16.85546875" style="5" customWidth="1"/>
    <col min="5" max="5" width="13.140625" style="4" customWidth="1"/>
    <col min="6" max="6" width="10.85546875" style="4" customWidth="1"/>
    <col min="7" max="7" width="8.85546875" style="174"/>
    <col min="8" max="8" width="12.42578125" style="325" customWidth="1"/>
    <col min="9" max="9" width="17.7109375" style="325" customWidth="1"/>
    <col min="10" max="10" width="17.140625" style="325" customWidth="1"/>
    <col min="11" max="11" width="10.85546875" style="325" customWidth="1"/>
    <col min="12" max="12" width="11.85546875" style="325" bestFit="1" customWidth="1"/>
    <col min="13" max="20" width="8.85546875" style="325"/>
    <col min="21" max="248" width="8.85546875" style="3"/>
    <col min="249" max="249" width="6.140625" style="3" customWidth="1"/>
    <col min="250" max="250" width="44.85546875" style="3" customWidth="1"/>
    <col min="251" max="251" width="16.140625" style="3" customWidth="1"/>
    <col min="252" max="252" width="16.85546875" style="3" customWidth="1"/>
    <col min="253" max="253" width="13.140625" style="3" customWidth="1"/>
    <col min="254" max="254" width="10.85546875" style="3" customWidth="1"/>
    <col min="255" max="255" width="18.85546875" style="3" customWidth="1"/>
    <col min="256" max="256" width="14.85546875" style="3" customWidth="1"/>
    <col min="257" max="257" width="16.85546875" style="3" customWidth="1"/>
    <col min="258" max="258" width="27.140625" style="3" customWidth="1"/>
    <col min="259" max="259" width="16.28515625" style="3" customWidth="1"/>
    <col min="260" max="260" width="17.7109375" style="3" customWidth="1"/>
    <col min="261" max="261" width="20.5703125" style="3" customWidth="1"/>
    <col min="262" max="504" width="8.85546875" style="3"/>
    <col min="505" max="505" width="6.140625" style="3" customWidth="1"/>
    <col min="506" max="506" width="44.85546875" style="3" customWidth="1"/>
    <col min="507" max="507" width="16.140625" style="3" customWidth="1"/>
    <col min="508" max="508" width="16.85546875" style="3" customWidth="1"/>
    <col min="509" max="509" width="13.140625" style="3" customWidth="1"/>
    <col min="510" max="510" width="10.85546875" style="3" customWidth="1"/>
    <col min="511" max="511" width="18.85546875" style="3" customWidth="1"/>
    <col min="512" max="512" width="14.85546875" style="3" customWidth="1"/>
    <col min="513" max="513" width="16.85546875" style="3" customWidth="1"/>
    <col min="514" max="514" width="27.140625" style="3" customWidth="1"/>
    <col min="515" max="515" width="16.28515625" style="3" customWidth="1"/>
    <col min="516" max="516" width="17.7109375" style="3" customWidth="1"/>
    <col min="517" max="517" width="20.5703125" style="3" customWidth="1"/>
    <col min="518" max="760" width="8.85546875" style="3"/>
    <col min="761" max="761" width="6.140625" style="3" customWidth="1"/>
    <col min="762" max="762" width="44.85546875" style="3" customWidth="1"/>
    <col min="763" max="763" width="16.140625" style="3" customWidth="1"/>
    <col min="764" max="764" width="16.85546875" style="3" customWidth="1"/>
    <col min="765" max="765" width="13.140625" style="3" customWidth="1"/>
    <col min="766" max="766" width="10.85546875" style="3" customWidth="1"/>
    <col min="767" max="767" width="18.85546875" style="3" customWidth="1"/>
    <col min="768" max="768" width="14.85546875" style="3" customWidth="1"/>
    <col min="769" max="769" width="16.85546875" style="3" customWidth="1"/>
    <col min="770" max="770" width="27.140625" style="3" customWidth="1"/>
    <col min="771" max="771" width="16.28515625" style="3" customWidth="1"/>
    <col min="772" max="772" width="17.7109375" style="3" customWidth="1"/>
    <col min="773" max="773" width="20.5703125" style="3" customWidth="1"/>
    <col min="774" max="1016" width="8.85546875" style="3"/>
    <col min="1017" max="1017" width="6.140625" style="3" customWidth="1"/>
    <col min="1018" max="1018" width="44.85546875" style="3" customWidth="1"/>
    <col min="1019" max="1019" width="16.140625" style="3" customWidth="1"/>
    <col min="1020" max="1020" width="16.85546875" style="3" customWidth="1"/>
    <col min="1021" max="1021" width="13.140625" style="3" customWidth="1"/>
    <col min="1022" max="1022" width="10.85546875" style="3" customWidth="1"/>
    <col min="1023" max="1023" width="18.85546875" style="3" customWidth="1"/>
    <col min="1024" max="1024" width="14.85546875" style="3" customWidth="1"/>
    <col min="1025" max="1025" width="16.85546875" style="3" customWidth="1"/>
    <col min="1026" max="1026" width="27.140625" style="3" customWidth="1"/>
    <col min="1027" max="1027" width="16.28515625" style="3" customWidth="1"/>
    <col min="1028" max="1028" width="17.7109375" style="3" customWidth="1"/>
    <col min="1029" max="1029" width="20.5703125" style="3" customWidth="1"/>
    <col min="1030" max="1272" width="8.85546875" style="3"/>
    <col min="1273" max="1273" width="6.140625" style="3" customWidth="1"/>
    <col min="1274" max="1274" width="44.85546875" style="3" customWidth="1"/>
    <col min="1275" max="1275" width="16.140625" style="3" customWidth="1"/>
    <col min="1276" max="1276" width="16.85546875" style="3" customWidth="1"/>
    <col min="1277" max="1277" width="13.140625" style="3" customWidth="1"/>
    <col min="1278" max="1278" width="10.85546875" style="3" customWidth="1"/>
    <col min="1279" max="1279" width="18.85546875" style="3" customWidth="1"/>
    <col min="1280" max="1280" width="14.85546875" style="3" customWidth="1"/>
    <col min="1281" max="1281" width="16.85546875" style="3" customWidth="1"/>
    <col min="1282" max="1282" width="27.140625" style="3" customWidth="1"/>
    <col min="1283" max="1283" width="16.28515625" style="3" customWidth="1"/>
    <col min="1284" max="1284" width="17.7109375" style="3" customWidth="1"/>
    <col min="1285" max="1285" width="20.5703125" style="3" customWidth="1"/>
    <col min="1286" max="1528" width="8.85546875" style="3"/>
    <col min="1529" max="1529" width="6.140625" style="3" customWidth="1"/>
    <col min="1530" max="1530" width="44.85546875" style="3" customWidth="1"/>
    <col min="1531" max="1531" width="16.140625" style="3" customWidth="1"/>
    <col min="1532" max="1532" width="16.85546875" style="3" customWidth="1"/>
    <col min="1533" max="1533" width="13.140625" style="3" customWidth="1"/>
    <col min="1534" max="1534" width="10.85546875" style="3" customWidth="1"/>
    <col min="1535" max="1535" width="18.85546875" style="3" customWidth="1"/>
    <col min="1536" max="1536" width="14.85546875" style="3" customWidth="1"/>
    <col min="1537" max="1537" width="16.85546875" style="3" customWidth="1"/>
    <col min="1538" max="1538" width="27.140625" style="3" customWidth="1"/>
    <col min="1539" max="1539" width="16.28515625" style="3" customWidth="1"/>
    <col min="1540" max="1540" width="17.7109375" style="3" customWidth="1"/>
    <col min="1541" max="1541" width="20.5703125" style="3" customWidth="1"/>
    <col min="1542" max="1784" width="8.85546875" style="3"/>
    <col min="1785" max="1785" width="6.140625" style="3" customWidth="1"/>
    <col min="1786" max="1786" width="44.85546875" style="3" customWidth="1"/>
    <col min="1787" max="1787" width="16.140625" style="3" customWidth="1"/>
    <col min="1788" max="1788" width="16.85546875" style="3" customWidth="1"/>
    <col min="1789" max="1789" width="13.140625" style="3" customWidth="1"/>
    <col min="1790" max="1790" width="10.85546875" style="3" customWidth="1"/>
    <col min="1791" max="1791" width="18.85546875" style="3" customWidth="1"/>
    <col min="1792" max="1792" width="14.85546875" style="3" customWidth="1"/>
    <col min="1793" max="1793" width="16.85546875" style="3" customWidth="1"/>
    <col min="1794" max="1794" width="27.140625" style="3" customWidth="1"/>
    <col min="1795" max="1795" width="16.28515625" style="3" customWidth="1"/>
    <col min="1796" max="1796" width="17.7109375" style="3" customWidth="1"/>
    <col min="1797" max="1797" width="20.5703125" style="3" customWidth="1"/>
    <col min="1798" max="2040" width="8.85546875" style="3"/>
    <col min="2041" max="2041" width="6.140625" style="3" customWidth="1"/>
    <col min="2042" max="2042" width="44.85546875" style="3" customWidth="1"/>
    <col min="2043" max="2043" width="16.140625" style="3" customWidth="1"/>
    <col min="2044" max="2044" width="16.85546875" style="3" customWidth="1"/>
    <col min="2045" max="2045" width="13.140625" style="3" customWidth="1"/>
    <col min="2046" max="2046" width="10.85546875" style="3" customWidth="1"/>
    <col min="2047" max="2047" width="18.85546875" style="3" customWidth="1"/>
    <col min="2048" max="2048" width="14.85546875" style="3" customWidth="1"/>
    <col min="2049" max="2049" width="16.85546875" style="3" customWidth="1"/>
    <col min="2050" max="2050" width="27.140625" style="3" customWidth="1"/>
    <col min="2051" max="2051" width="16.28515625" style="3" customWidth="1"/>
    <col min="2052" max="2052" width="17.7109375" style="3" customWidth="1"/>
    <col min="2053" max="2053" width="20.5703125" style="3" customWidth="1"/>
    <col min="2054" max="2296" width="8.85546875" style="3"/>
    <col min="2297" max="2297" width="6.140625" style="3" customWidth="1"/>
    <col min="2298" max="2298" width="44.85546875" style="3" customWidth="1"/>
    <col min="2299" max="2299" width="16.140625" style="3" customWidth="1"/>
    <col min="2300" max="2300" width="16.85546875" style="3" customWidth="1"/>
    <col min="2301" max="2301" width="13.140625" style="3" customWidth="1"/>
    <col min="2302" max="2302" width="10.85546875" style="3" customWidth="1"/>
    <col min="2303" max="2303" width="18.85546875" style="3" customWidth="1"/>
    <col min="2304" max="2304" width="14.85546875" style="3" customWidth="1"/>
    <col min="2305" max="2305" width="16.85546875" style="3" customWidth="1"/>
    <col min="2306" max="2306" width="27.140625" style="3" customWidth="1"/>
    <col min="2307" max="2307" width="16.28515625" style="3" customWidth="1"/>
    <col min="2308" max="2308" width="17.7109375" style="3" customWidth="1"/>
    <col min="2309" max="2309" width="20.5703125" style="3" customWidth="1"/>
    <col min="2310" max="2552" width="8.85546875" style="3"/>
    <col min="2553" max="2553" width="6.140625" style="3" customWidth="1"/>
    <col min="2554" max="2554" width="44.85546875" style="3" customWidth="1"/>
    <col min="2555" max="2555" width="16.140625" style="3" customWidth="1"/>
    <col min="2556" max="2556" width="16.85546875" style="3" customWidth="1"/>
    <col min="2557" max="2557" width="13.140625" style="3" customWidth="1"/>
    <col min="2558" max="2558" width="10.85546875" style="3" customWidth="1"/>
    <col min="2559" max="2559" width="18.85546875" style="3" customWidth="1"/>
    <col min="2560" max="2560" width="14.85546875" style="3" customWidth="1"/>
    <col min="2561" max="2561" width="16.85546875" style="3" customWidth="1"/>
    <col min="2562" max="2562" width="27.140625" style="3" customWidth="1"/>
    <col min="2563" max="2563" width="16.28515625" style="3" customWidth="1"/>
    <col min="2564" max="2564" width="17.7109375" style="3" customWidth="1"/>
    <col min="2565" max="2565" width="20.5703125" style="3" customWidth="1"/>
    <col min="2566" max="2808" width="8.85546875" style="3"/>
    <col min="2809" max="2809" width="6.140625" style="3" customWidth="1"/>
    <col min="2810" max="2810" width="44.85546875" style="3" customWidth="1"/>
    <col min="2811" max="2811" width="16.140625" style="3" customWidth="1"/>
    <col min="2812" max="2812" width="16.85546875" style="3" customWidth="1"/>
    <col min="2813" max="2813" width="13.140625" style="3" customWidth="1"/>
    <col min="2814" max="2814" width="10.85546875" style="3" customWidth="1"/>
    <col min="2815" max="2815" width="18.85546875" style="3" customWidth="1"/>
    <col min="2816" max="2816" width="14.85546875" style="3" customWidth="1"/>
    <col min="2817" max="2817" width="16.85546875" style="3" customWidth="1"/>
    <col min="2818" max="2818" width="27.140625" style="3" customWidth="1"/>
    <col min="2819" max="2819" width="16.28515625" style="3" customWidth="1"/>
    <col min="2820" max="2820" width="17.7109375" style="3" customWidth="1"/>
    <col min="2821" max="2821" width="20.5703125" style="3" customWidth="1"/>
    <col min="2822" max="3064" width="8.85546875" style="3"/>
    <col min="3065" max="3065" width="6.140625" style="3" customWidth="1"/>
    <col min="3066" max="3066" width="44.85546875" style="3" customWidth="1"/>
    <col min="3067" max="3067" width="16.140625" style="3" customWidth="1"/>
    <col min="3068" max="3068" width="16.85546875" style="3" customWidth="1"/>
    <col min="3069" max="3069" width="13.140625" style="3" customWidth="1"/>
    <col min="3070" max="3070" width="10.85546875" style="3" customWidth="1"/>
    <col min="3071" max="3071" width="18.85546875" style="3" customWidth="1"/>
    <col min="3072" max="3072" width="14.85546875" style="3" customWidth="1"/>
    <col min="3073" max="3073" width="16.85546875" style="3" customWidth="1"/>
    <col min="3074" max="3074" width="27.140625" style="3" customWidth="1"/>
    <col min="3075" max="3075" width="16.28515625" style="3" customWidth="1"/>
    <col min="3076" max="3076" width="17.7109375" style="3" customWidth="1"/>
    <col min="3077" max="3077" width="20.5703125" style="3" customWidth="1"/>
    <col min="3078" max="3320" width="8.85546875" style="3"/>
    <col min="3321" max="3321" width="6.140625" style="3" customWidth="1"/>
    <col min="3322" max="3322" width="44.85546875" style="3" customWidth="1"/>
    <col min="3323" max="3323" width="16.140625" style="3" customWidth="1"/>
    <col min="3324" max="3324" width="16.85546875" style="3" customWidth="1"/>
    <col min="3325" max="3325" width="13.140625" style="3" customWidth="1"/>
    <col min="3326" max="3326" width="10.85546875" style="3" customWidth="1"/>
    <col min="3327" max="3327" width="18.85546875" style="3" customWidth="1"/>
    <col min="3328" max="3328" width="14.85546875" style="3" customWidth="1"/>
    <col min="3329" max="3329" width="16.85546875" style="3" customWidth="1"/>
    <col min="3330" max="3330" width="27.140625" style="3" customWidth="1"/>
    <col min="3331" max="3331" width="16.28515625" style="3" customWidth="1"/>
    <col min="3332" max="3332" width="17.7109375" style="3" customWidth="1"/>
    <col min="3333" max="3333" width="20.5703125" style="3" customWidth="1"/>
    <col min="3334" max="3576" width="8.85546875" style="3"/>
    <col min="3577" max="3577" width="6.140625" style="3" customWidth="1"/>
    <col min="3578" max="3578" width="44.85546875" style="3" customWidth="1"/>
    <col min="3579" max="3579" width="16.140625" style="3" customWidth="1"/>
    <col min="3580" max="3580" width="16.85546875" style="3" customWidth="1"/>
    <col min="3581" max="3581" width="13.140625" style="3" customWidth="1"/>
    <col min="3582" max="3582" width="10.85546875" style="3" customWidth="1"/>
    <col min="3583" max="3583" width="18.85546875" style="3" customWidth="1"/>
    <col min="3584" max="3584" width="14.85546875" style="3" customWidth="1"/>
    <col min="3585" max="3585" width="16.85546875" style="3" customWidth="1"/>
    <col min="3586" max="3586" width="27.140625" style="3" customWidth="1"/>
    <col min="3587" max="3587" width="16.28515625" style="3" customWidth="1"/>
    <col min="3588" max="3588" width="17.7109375" style="3" customWidth="1"/>
    <col min="3589" max="3589" width="20.5703125" style="3" customWidth="1"/>
    <col min="3590" max="3832" width="8.85546875" style="3"/>
    <col min="3833" max="3833" width="6.140625" style="3" customWidth="1"/>
    <col min="3834" max="3834" width="44.85546875" style="3" customWidth="1"/>
    <col min="3835" max="3835" width="16.140625" style="3" customWidth="1"/>
    <col min="3836" max="3836" width="16.85546875" style="3" customWidth="1"/>
    <col min="3837" max="3837" width="13.140625" style="3" customWidth="1"/>
    <col min="3838" max="3838" width="10.85546875" style="3" customWidth="1"/>
    <col min="3839" max="3839" width="18.85546875" style="3" customWidth="1"/>
    <col min="3840" max="3840" width="14.85546875" style="3" customWidth="1"/>
    <col min="3841" max="3841" width="16.85546875" style="3" customWidth="1"/>
    <col min="3842" max="3842" width="27.140625" style="3" customWidth="1"/>
    <col min="3843" max="3843" width="16.28515625" style="3" customWidth="1"/>
    <col min="3844" max="3844" width="17.7109375" style="3" customWidth="1"/>
    <col min="3845" max="3845" width="20.5703125" style="3" customWidth="1"/>
    <col min="3846" max="4088" width="8.85546875" style="3"/>
    <col min="4089" max="4089" width="6.140625" style="3" customWidth="1"/>
    <col min="4090" max="4090" width="44.85546875" style="3" customWidth="1"/>
    <col min="4091" max="4091" width="16.140625" style="3" customWidth="1"/>
    <col min="4092" max="4092" width="16.85546875" style="3" customWidth="1"/>
    <col min="4093" max="4093" width="13.140625" style="3" customWidth="1"/>
    <col min="4094" max="4094" width="10.85546875" style="3" customWidth="1"/>
    <col min="4095" max="4095" width="18.85546875" style="3" customWidth="1"/>
    <col min="4096" max="4096" width="14.85546875" style="3" customWidth="1"/>
    <col min="4097" max="4097" width="16.85546875" style="3" customWidth="1"/>
    <col min="4098" max="4098" width="27.140625" style="3" customWidth="1"/>
    <col min="4099" max="4099" width="16.28515625" style="3" customWidth="1"/>
    <col min="4100" max="4100" width="17.7109375" style="3" customWidth="1"/>
    <col min="4101" max="4101" width="20.5703125" style="3" customWidth="1"/>
    <col min="4102" max="4344" width="8.85546875" style="3"/>
    <col min="4345" max="4345" width="6.140625" style="3" customWidth="1"/>
    <col min="4346" max="4346" width="44.85546875" style="3" customWidth="1"/>
    <col min="4347" max="4347" width="16.140625" style="3" customWidth="1"/>
    <col min="4348" max="4348" width="16.85546875" style="3" customWidth="1"/>
    <col min="4349" max="4349" width="13.140625" style="3" customWidth="1"/>
    <col min="4350" max="4350" width="10.85546875" style="3" customWidth="1"/>
    <col min="4351" max="4351" width="18.85546875" style="3" customWidth="1"/>
    <col min="4352" max="4352" width="14.85546875" style="3" customWidth="1"/>
    <col min="4353" max="4353" width="16.85546875" style="3" customWidth="1"/>
    <col min="4354" max="4354" width="27.140625" style="3" customWidth="1"/>
    <col min="4355" max="4355" width="16.28515625" style="3" customWidth="1"/>
    <col min="4356" max="4356" width="17.7109375" style="3" customWidth="1"/>
    <col min="4357" max="4357" width="20.5703125" style="3" customWidth="1"/>
    <col min="4358" max="4600" width="8.85546875" style="3"/>
    <col min="4601" max="4601" width="6.140625" style="3" customWidth="1"/>
    <col min="4602" max="4602" width="44.85546875" style="3" customWidth="1"/>
    <col min="4603" max="4603" width="16.140625" style="3" customWidth="1"/>
    <col min="4604" max="4604" width="16.85546875" style="3" customWidth="1"/>
    <col min="4605" max="4605" width="13.140625" style="3" customWidth="1"/>
    <col min="4606" max="4606" width="10.85546875" style="3" customWidth="1"/>
    <col min="4607" max="4607" width="18.85546875" style="3" customWidth="1"/>
    <col min="4608" max="4608" width="14.85546875" style="3" customWidth="1"/>
    <col min="4609" max="4609" width="16.85546875" style="3" customWidth="1"/>
    <col min="4610" max="4610" width="27.140625" style="3" customWidth="1"/>
    <col min="4611" max="4611" width="16.28515625" style="3" customWidth="1"/>
    <col min="4612" max="4612" width="17.7109375" style="3" customWidth="1"/>
    <col min="4613" max="4613" width="20.5703125" style="3" customWidth="1"/>
    <col min="4614" max="4856" width="8.85546875" style="3"/>
    <col min="4857" max="4857" width="6.140625" style="3" customWidth="1"/>
    <col min="4858" max="4858" width="44.85546875" style="3" customWidth="1"/>
    <col min="4859" max="4859" width="16.140625" style="3" customWidth="1"/>
    <col min="4860" max="4860" width="16.85546875" style="3" customWidth="1"/>
    <col min="4861" max="4861" width="13.140625" style="3" customWidth="1"/>
    <col min="4862" max="4862" width="10.85546875" style="3" customWidth="1"/>
    <col min="4863" max="4863" width="18.85546875" style="3" customWidth="1"/>
    <col min="4864" max="4864" width="14.85546875" style="3" customWidth="1"/>
    <col min="4865" max="4865" width="16.85546875" style="3" customWidth="1"/>
    <col min="4866" max="4866" width="27.140625" style="3" customWidth="1"/>
    <col min="4867" max="4867" width="16.28515625" style="3" customWidth="1"/>
    <col min="4868" max="4868" width="17.7109375" style="3" customWidth="1"/>
    <col min="4869" max="4869" width="20.5703125" style="3" customWidth="1"/>
    <col min="4870" max="5112" width="8.85546875" style="3"/>
    <col min="5113" max="5113" width="6.140625" style="3" customWidth="1"/>
    <col min="5114" max="5114" width="44.85546875" style="3" customWidth="1"/>
    <col min="5115" max="5115" width="16.140625" style="3" customWidth="1"/>
    <col min="5116" max="5116" width="16.85546875" style="3" customWidth="1"/>
    <col min="5117" max="5117" width="13.140625" style="3" customWidth="1"/>
    <col min="5118" max="5118" width="10.85546875" style="3" customWidth="1"/>
    <col min="5119" max="5119" width="18.85546875" style="3" customWidth="1"/>
    <col min="5120" max="5120" width="14.85546875" style="3" customWidth="1"/>
    <col min="5121" max="5121" width="16.85546875" style="3" customWidth="1"/>
    <col min="5122" max="5122" width="27.140625" style="3" customWidth="1"/>
    <col min="5123" max="5123" width="16.28515625" style="3" customWidth="1"/>
    <col min="5124" max="5124" width="17.7109375" style="3" customWidth="1"/>
    <col min="5125" max="5125" width="20.5703125" style="3" customWidth="1"/>
    <col min="5126" max="5368" width="8.85546875" style="3"/>
    <col min="5369" max="5369" width="6.140625" style="3" customWidth="1"/>
    <col min="5370" max="5370" width="44.85546875" style="3" customWidth="1"/>
    <col min="5371" max="5371" width="16.140625" style="3" customWidth="1"/>
    <col min="5372" max="5372" width="16.85546875" style="3" customWidth="1"/>
    <col min="5373" max="5373" width="13.140625" style="3" customWidth="1"/>
    <col min="5374" max="5374" width="10.85546875" style="3" customWidth="1"/>
    <col min="5375" max="5375" width="18.85546875" style="3" customWidth="1"/>
    <col min="5376" max="5376" width="14.85546875" style="3" customWidth="1"/>
    <col min="5377" max="5377" width="16.85546875" style="3" customWidth="1"/>
    <col min="5378" max="5378" width="27.140625" style="3" customWidth="1"/>
    <col min="5379" max="5379" width="16.28515625" style="3" customWidth="1"/>
    <col min="5380" max="5380" width="17.7109375" style="3" customWidth="1"/>
    <col min="5381" max="5381" width="20.5703125" style="3" customWidth="1"/>
    <col min="5382" max="5624" width="8.85546875" style="3"/>
    <col min="5625" max="5625" width="6.140625" style="3" customWidth="1"/>
    <col min="5626" max="5626" width="44.85546875" style="3" customWidth="1"/>
    <col min="5627" max="5627" width="16.140625" style="3" customWidth="1"/>
    <col min="5628" max="5628" width="16.85546875" style="3" customWidth="1"/>
    <col min="5629" max="5629" width="13.140625" style="3" customWidth="1"/>
    <col min="5630" max="5630" width="10.85546875" style="3" customWidth="1"/>
    <col min="5631" max="5631" width="18.85546875" style="3" customWidth="1"/>
    <col min="5632" max="5632" width="14.85546875" style="3" customWidth="1"/>
    <col min="5633" max="5633" width="16.85546875" style="3" customWidth="1"/>
    <col min="5634" max="5634" width="27.140625" style="3" customWidth="1"/>
    <col min="5635" max="5635" width="16.28515625" style="3" customWidth="1"/>
    <col min="5636" max="5636" width="17.7109375" style="3" customWidth="1"/>
    <col min="5637" max="5637" width="20.5703125" style="3" customWidth="1"/>
    <col min="5638" max="5880" width="8.85546875" style="3"/>
    <col min="5881" max="5881" width="6.140625" style="3" customWidth="1"/>
    <col min="5882" max="5882" width="44.85546875" style="3" customWidth="1"/>
    <col min="5883" max="5883" width="16.140625" style="3" customWidth="1"/>
    <col min="5884" max="5884" width="16.85546875" style="3" customWidth="1"/>
    <col min="5885" max="5885" width="13.140625" style="3" customWidth="1"/>
    <col min="5886" max="5886" width="10.85546875" style="3" customWidth="1"/>
    <col min="5887" max="5887" width="18.85546875" style="3" customWidth="1"/>
    <col min="5888" max="5888" width="14.85546875" style="3" customWidth="1"/>
    <col min="5889" max="5889" width="16.85546875" style="3" customWidth="1"/>
    <col min="5890" max="5890" width="27.140625" style="3" customWidth="1"/>
    <col min="5891" max="5891" width="16.28515625" style="3" customWidth="1"/>
    <col min="5892" max="5892" width="17.7109375" style="3" customWidth="1"/>
    <col min="5893" max="5893" width="20.5703125" style="3" customWidth="1"/>
    <col min="5894" max="6136" width="8.85546875" style="3"/>
    <col min="6137" max="6137" width="6.140625" style="3" customWidth="1"/>
    <col min="6138" max="6138" width="44.85546875" style="3" customWidth="1"/>
    <col min="6139" max="6139" width="16.140625" style="3" customWidth="1"/>
    <col min="6140" max="6140" width="16.85546875" style="3" customWidth="1"/>
    <col min="6141" max="6141" width="13.140625" style="3" customWidth="1"/>
    <col min="6142" max="6142" width="10.85546875" style="3" customWidth="1"/>
    <col min="6143" max="6143" width="18.85546875" style="3" customWidth="1"/>
    <col min="6144" max="6144" width="14.85546875" style="3" customWidth="1"/>
    <col min="6145" max="6145" width="16.85546875" style="3" customWidth="1"/>
    <col min="6146" max="6146" width="27.140625" style="3" customWidth="1"/>
    <col min="6147" max="6147" width="16.28515625" style="3" customWidth="1"/>
    <col min="6148" max="6148" width="17.7109375" style="3" customWidth="1"/>
    <col min="6149" max="6149" width="20.5703125" style="3" customWidth="1"/>
    <col min="6150" max="6392" width="8.85546875" style="3"/>
    <col min="6393" max="6393" width="6.140625" style="3" customWidth="1"/>
    <col min="6394" max="6394" width="44.85546875" style="3" customWidth="1"/>
    <col min="6395" max="6395" width="16.140625" style="3" customWidth="1"/>
    <col min="6396" max="6396" width="16.85546875" style="3" customWidth="1"/>
    <col min="6397" max="6397" width="13.140625" style="3" customWidth="1"/>
    <col min="6398" max="6398" width="10.85546875" style="3" customWidth="1"/>
    <col min="6399" max="6399" width="18.85546875" style="3" customWidth="1"/>
    <col min="6400" max="6400" width="14.85546875" style="3" customWidth="1"/>
    <col min="6401" max="6401" width="16.85546875" style="3" customWidth="1"/>
    <col min="6402" max="6402" width="27.140625" style="3" customWidth="1"/>
    <col min="6403" max="6403" width="16.28515625" style="3" customWidth="1"/>
    <col min="6404" max="6404" width="17.7109375" style="3" customWidth="1"/>
    <col min="6405" max="6405" width="20.5703125" style="3" customWidth="1"/>
    <col min="6406" max="6648" width="8.85546875" style="3"/>
    <col min="6649" max="6649" width="6.140625" style="3" customWidth="1"/>
    <col min="6650" max="6650" width="44.85546875" style="3" customWidth="1"/>
    <col min="6651" max="6651" width="16.140625" style="3" customWidth="1"/>
    <col min="6652" max="6652" width="16.85546875" style="3" customWidth="1"/>
    <col min="6653" max="6653" width="13.140625" style="3" customWidth="1"/>
    <col min="6654" max="6654" width="10.85546875" style="3" customWidth="1"/>
    <col min="6655" max="6655" width="18.85546875" style="3" customWidth="1"/>
    <col min="6656" max="6656" width="14.85546875" style="3" customWidth="1"/>
    <col min="6657" max="6657" width="16.85546875" style="3" customWidth="1"/>
    <col min="6658" max="6658" width="27.140625" style="3" customWidth="1"/>
    <col min="6659" max="6659" width="16.28515625" style="3" customWidth="1"/>
    <col min="6660" max="6660" width="17.7109375" style="3" customWidth="1"/>
    <col min="6661" max="6661" width="20.5703125" style="3" customWidth="1"/>
    <col min="6662" max="6904" width="8.85546875" style="3"/>
    <col min="6905" max="6905" width="6.140625" style="3" customWidth="1"/>
    <col min="6906" max="6906" width="44.85546875" style="3" customWidth="1"/>
    <col min="6907" max="6907" width="16.140625" style="3" customWidth="1"/>
    <col min="6908" max="6908" width="16.85546875" style="3" customWidth="1"/>
    <col min="6909" max="6909" width="13.140625" style="3" customWidth="1"/>
    <col min="6910" max="6910" width="10.85546875" style="3" customWidth="1"/>
    <col min="6911" max="6911" width="18.85546875" style="3" customWidth="1"/>
    <col min="6912" max="6912" width="14.85546875" style="3" customWidth="1"/>
    <col min="6913" max="6913" width="16.85546875" style="3" customWidth="1"/>
    <col min="6914" max="6914" width="27.140625" style="3" customWidth="1"/>
    <col min="6915" max="6915" width="16.28515625" style="3" customWidth="1"/>
    <col min="6916" max="6916" width="17.7109375" style="3" customWidth="1"/>
    <col min="6917" max="6917" width="20.5703125" style="3" customWidth="1"/>
    <col min="6918" max="7160" width="8.85546875" style="3"/>
    <col min="7161" max="7161" width="6.140625" style="3" customWidth="1"/>
    <col min="7162" max="7162" width="44.85546875" style="3" customWidth="1"/>
    <col min="7163" max="7163" width="16.140625" style="3" customWidth="1"/>
    <col min="7164" max="7164" width="16.85546875" style="3" customWidth="1"/>
    <col min="7165" max="7165" width="13.140625" style="3" customWidth="1"/>
    <col min="7166" max="7166" width="10.85546875" style="3" customWidth="1"/>
    <col min="7167" max="7167" width="18.85546875" style="3" customWidth="1"/>
    <col min="7168" max="7168" width="14.85546875" style="3" customWidth="1"/>
    <col min="7169" max="7169" width="16.85546875" style="3" customWidth="1"/>
    <col min="7170" max="7170" width="27.140625" style="3" customWidth="1"/>
    <col min="7171" max="7171" width="16.28515625" style="3" customWidth="1"/>
    <col min="7172" max="7172" width="17.7109375" style="3" customWidth="1"/>
    <col min="7173" max="7173" width="20.5703125" style="3" customWidth="1"/>
    <col min="7174" max="7416" width="8.85546875" style="3"/>
    <col min="7417" max="7417" width="6.140625" style="3" customWidth="1"/>
    <col min="7418" max="7418" width="44.85546875" style="3" customWidth="1"/>
    <col min="7419" max="7419" width="16.140625" style="3" customWidth="1"/>
    <col min="7420" max="7420" width="16.85546875" style="3" customWidth="1"/>
    <col min="7421" max="7421" width="13.140625" style="3" customWidth="1"/>
    <col min="7422" max="7422" width="10.85546875" style="3" customWidth="1"/>
    <col min="7423" max="7423" width="18.85546875" style="3" customWidth="1"/>
    <col min="7424" max="7424" width="14.85546875" style="3" customWidth="1"/>
    <col min="7425" max="7425" width="16.85546875" style="3" customWidth="1"/>
    <col min="7426" max="7426" width="27.140625" style="3" customWidth="1"/>
    <col min="7427" max="7427" width="16.28515625" style="3" customWidth="1"/>
    <col min="7428" max="7428" width="17.7109375" style="3" customWidth="1"/>
    <col min="7429" max="7429" width="20.5703125" style="3" customWidth="1"/>
    <col min="7430" max="7672" width="8.85546875" style="3"/>
    <col min="7673" max="7673" width="6.140625" style="3" customWidth="1"/>
    <col min="7674" max="7674" width="44.85546875" style="3" customWidth="1"/>
    <col min="7675" max="7675" width="16.140625" style="3" customWidth="1"/>
    <col min="7676" max="7676" width="16.85546875" style="3" customWidth="1"/>
    <col min="7677" max="7677" width="13.140625" style="3" customWidth="1"/>
    <col min="7678" max="7678" width="10.85546875" style="3" customWidth="1"/>
    <col min="7679" max="7679" width="18.85546875" style="3" customWidth="1"/>
    <col min="7680" max="7680" width="14.85546875" style="3" customWidth="1"/>
    <col min="7681" max="7681" width="16.85546875" style="3" customWidth="1"/>
    <col min="7682" max="7682" width="27.140625" style="3" customWidth="1"/>
    <col min="7683" max="7683" width="16.28515625" style="3" customWidth="1"/>
    <col min="7684" max="7684" width="17.7109375" style="3" customWidth="1"/>
    <col min="7685" max="7685" width="20.5703125" style="3" customWidth="1"/>
    <col min="7686" max="7928" width="8.85546875" style="3"/>
    <col min="7929" max="7929" width="6.140625" style="3" customWidth="1"/>
    <col min="7930" max="7930" width="44.85546875" style="3" customWidth="1"/>
    <col min="7931" max="7931" width="16.140625" style="3" customWidth="1"/>
    <col min="7932" max="7932" width="16.85546875" style="3" customWidth="1"/>
    <col min="7933" max="7933" width="13.140625" style="3" customWidth="1"/>
    <col min="7934" max="7934" width="10.85546875" style="3" customWidth="1"/>
    <col min="7935" max="7935" width="18.85546875" style="3" customWidth="1"/>
    <col min="7936" max="7936" width="14.85546875" style="3" customWidth="1"/>
    <col min="7937" max="7937" width="16.85546875" style="3" customWidth="1"/>
    <col min="7938" max="7938" width="27.140625" style="3" customWidth="1"/>
    <col min="7939" max="7939" width="16.28515625" style="3" customWidth="1"/>
    <col min="7940" max="7940" width="17.7109375" style="3" customWidth="1"/>
    <col min="7941" max="7941" width="20.5703125" style="3" customWidth="1"/>
    <col min="7942" max="8184" width="8.85546875" style="3"/>
    <col min="8185" max="8185" width="6.140625" style="3" customWidth="1"/>
    <col min="8186" max="8186" width="44.85546875" style="3" customWidth="1"/>
    <col min="8187" max="8187" width="16.140625" style="3" customWidth="1"/>
    <col min="8188" max="8188" width="16.85546875" style="3" customWidth="1"/>
    <col min="8189" max="8189" width="13.140625" style="3" customWidth="1"/>
    <col min="8190" max="8190" width="10.85546875" style="3" customWidth="1"/>
    <col min="8191" max="8191" width="18.85546875" style="3" customWidth="1"/>
    <col min="8192" max="8192" width="14.85546875" style="3" customWidth="1"/>
    <col min="8193" max="8193" width="16.85546875" style="3" customWidth="1"/>
    <col min="8194" max="8194" width="27.140625" style="3" customWidth="1"/>
    <col min="8195" max="8195" width="16.28515625" style="3" customWidth="1"/>
    <col min="8196" max="8196" width="17.7109375" style="3" customWidth="1"/>
    <col min="8197" max="8197" width="20.5703125" style="3" customWidth="1"/>
    <col min="8198" max="8440" width="8.85546875" style="3"/>
    <col min="8441" max="8441" width="6.140625" style="3" customWidth="1"/>
    <col min="8442" max="8442" width="44.85546875" style="3" customWidth="1"/>
    <col min="8443" max="8443" width="16.140625" style="3" customWidth="1"/>
    <col min="8444" max="8444" width="16.85546875" style="3" customWidth="1"/>
    <col min="8445" max="8445" width="13.140625" style="3" customWidth="1"/>
    <col min="8446" max="8446" width="10.85546875" style="3" customWidth="1"/>
    <col min="8447" max="8447" width="18.85546875" style="3" customWidth="1"/>
    <col min="8448" max="8448" width="14.85546875" style="3" customWidth="1"/>
    <col min="8449" max="8449" width="16.85546875" style="3" customWidth="1"/>
    <col min="8450" max="8450" width="27.140625" style="3" customWidth="1"/>
    <col min="8451" max="8451" width="16.28515625" style="3" customWidth="1"/>
    <col min="8452" max="8452" width="17.7109375" style="3" customWidth="1"/>
    <col min="8453" max="8453" width="20.5703125" style="3" customWidth="1"/>
    <col min="8454" max="8696" width="8.85546875" style="3"/>
    <col min="8697" max="8697" width="6.140625" style="3" customWidth="1"/>
    <col min="8698" max="8698" width="44.85546875" style="3" customWidth="1"/>
    <col min="8699" max="8699" width="16.140625" style="3" customWidth="1"/>
    <col min="8700" max="8700" width="16.85546875" style="3" customWidth="1"/>
    <col min="8701" max="8701" width="13.140625" style="3" customWidth="1"/>
    <col min="8702" max="8702" width="10.85546875" style="3" customWidth="1"/>
    <col min="8703" max="8703" width="18.85546875" style="3" customWidth="1"/>
    <col min="8704" max="8704" width="14.85546875" style="3" customWidth="1"/>
    <col min="8705" max="8705" width="16.85546875" style="3" customWidth="1"/>
    <col min="8706" max="8706" width="27.140625" style="3" customWidth="1"/>
    <col min="8707" max="8707" width="16.28515625" style="3" customWidth="1"/>
    <col min="8708" max="8708" width="17.7109375" style="3" customWidth="1"/>
    <col min="8709" max="8709" width="20.5703125" style="3" customWidth="1"/>
    <col min="8710" max="8952" width="8.85546875" style="3"/>
    <col min="8953" max="8953" width="6.140625" style="3" customWidth="1"/>
    <col min="8954" max="8954" width="44.85546875" style="3" customWidth="1"/>
    <col min="8955" max="8955" width="16.140625" style="3" customWidth="1"/>
    <col min="8956" max="8956" width="16.85546875" style="3" customWidth="1"/>
    <col min="8957" max="8957" width="13.140625" style="3" customWidth="1"/>
    <col min="8958" max="8958" width="10.85546875" style="3" customWidth="1"/>
    <col min="8959" max="8959" width="18.85546875" style="3" customWidth="1"/>
    <col min="8960" max="8960" width="14.85546875" style="3" customWidth="1"/>
    <col min="8961" max="8961" width="16.85546875" style="3" customWidth="1"/>
    <col min="8962" max="8962" width="27.140625" style="3" customWidth="1"/>
    <col min="8963" max="8963" width="16.28515625" style="3" customWidth="1"/>
    <col min="8964" max="8964" width="17.7109375" style="3" customWidth="1"/>
    <col min="8965" max="8965" width="20.5703125" style="3" customWidth="1"/>
    <col min="8966" max="9208" width="8.85546875" style="3"/>
    <col min="9209" max="9209" width="6.140625" style="3" customWidth="1"/>
    <col min="9210" max="9210" width="44.85546875" style="3" customWidth="1"/>
    <col min="9211" max="9211" width="16.140625" style="3" customWidth="1"/>
    <col min="9212" max="9212" width="16.85546875" style="3" customWidth="1"/>
    <col min="9213" max="9213" width="13.140625" style="3" customWidth="1"/>
    <col min="9214" max="9214" width="10.85546875" style="3" customWidth="1"/>
    <col min="9215" max="9215" width="18.85546875" style="3" customWidth="1"/>
    <col min="9216" max="9216" width="14.85546875" style="3" customWidth="1"/>
    <col min="9217" max="9217" width="16.85546875" style="3" customWidth="1"/>
    <col min="9218" max="9218" width="27.140625" style="3" customWidth="1"/>
    <col min="9219" max="9219" width="16.28515625" style="3" customWidth="1"/>
    <col min="9220" max="9220" width="17.7109375" style="3" customWidth="1"/>
    <col min="9221" max="9221" width="20.5703125" style="3" customWidth="1"/>
    <col min="9222" max="9464" width="8.85546875" style="3"/>
    <col min="9465" max="9465" width="6.140625" style="3" customWidth="1"/>
    <col min="9466" max="9466" width="44.85546875" style="3" customWidth="1"/>
    <col min="9467" max="9467" width="16.140625" style="3" customWidth="1"/>
    <col min="9468" max="9468" width="16.85546875" style="3" customWidth="1"/>
    <col min="9469" max="9469" width="13.140625" style="3" customWidth="1"/>
    <col min="9470" max="9470" width="10.85546875" style="3" customWidth="1"/>
    <col min="9471" max="9471" width="18.85546875" style="3" customWidth="1"/>
    <col min="9472" max="9472" width="14.85546875" style="3" customWidth="1"/>
    <col min="9473" max="9473" width="16.85546875" style="3" customWidth="1"/>
    <col min="9474" max="9474" width="27.140625" style="3" customWidth="1"/>
    <col min="9475" max="9475" width="16.28515625" style="3" customWidth="1"/>
    <col min="9476" max="9476" width="17.7109375" style="3" customWidth="1"/>
    <col min="9477" max="9477" width="20.5703125" style="3" customWidth="1"/>
    <col min="9478" max="9720" width="8.85546875" style="3"/>
    <col min="9721" max="9721" width="6.140625" style="3" customWidth="1"/>
    <col min="9722" max="9722" width="44.85546875" style="3" customWidth="1"/>
    <col min="9723" max="9723" width="16.140625" style="3" customWidth="1"/>
    <col min="9724" max="9724" width="16.85546875" style="3" customWidth="1"/>
    <col min="9725" max="9725" width="13.140625" style="3" customWidth="1"/>
    <col min="9726" max="9726" width="10.85546875" style="3" customWidth="1"/>
    <col min="9727" max="9727" width="18.85546875" style="3" customWidth="1"/>
    <col min="9728" max="9728" width="14.85546875" style="3" customWidth="1"/>
    <col min="9729" max="9729" width="16.85546875" style="3" customWidth="1"/>
    <col min="9730" max="9730" width="27.140625" style="3" customWidth="1"/>
    <col min="9731" max="9731" width="16.28515625" style="3" customWidth="1"/>
    <col min="9732" max="9732" width="17.7109375" style="3" customWidth="1"/>
    <col min="9733" max="9733" width="20.5703125" style="3" customWidth="1"/>
    <col min="9734" max="9976" width="8.85546875" style="3"/>
    <col min="9977" max="9977" width="6.140625" style="3" customWidth="1"/>
    <col min="9978" max="9978" width="44.85546875" style="3" customWidth="1"/>
    <col min="9979" max="9979" width="16.140625" style="3" customWidth="1"/>
    <col min="9980" max="9980" width="16.85546875" style="3" customWidth="1"/>
    <col min="9981" max="9981" width="13.140625" style="3" customWidth="1"/>
    <col min="9982" max="9982" width="10.85546875" style="3" customWidth="1"/>
    <col min="9983" max="9983" width="18.85546875" style="3" customWidth="1"/>
    <col min="9984" max="9984" width="14.85546875" style="3" customWidth="1"/>
    <col min="9985" max="9985" width="16.85546875" style="3" customWidth="1"/>
    <col min="9986" max="9986" width="27.140625" style="3" customWidth="1"/>
    <col min="9987" max="9987" width="16.28515625" style="3" customWidth="1"/>
    <col min="9988" max="9988" width="17.7109375" style="3" customWidth="1"/>
    <col min="9989" max="9989" width="20.5703125" style="3" customWidth="1"/>
    <col min="9990" max="10232" width="8.85546875" style="3"/>
    <col min="10233" max="10233" width="6.140625" style="3" customWidth="1"/>
    <col min="10234" max="10234" width="44.85546875" style="3" customWidth="1"/>
    <col min="10235" max="10235" width="16.140625" style="3" customWidth="1"/>
    <col min="10236" max="10236" width="16.85546875" style="3" customWidth="1"/>
    <col min="10237" max="10237" width="13.140625" style="3" customWidth="1"/>
    <col min="10238" max="10238" width="10.85546875" style="3" customWidth="1"/>
    <col min="10239" max="10239" width="18.85546875" style="3" customWidth="1"/>
    <col min="10240" max="10240" width="14.85546875" style="3" customWidth="1"/>
    <col min="10241" max="10241" width="16.85546875" style="3" customWidth="1"/>
    <col min="10242" max="10242" width="27.140625" style="3" customWidth="1"/>
    <col min="10243" max="10243" width="16.28515625" style="3" customWidth="1"/>
    <col min="10244" max="10244" width="17.7109375" style="3" customWidth="1"/>
    <col min="10245" max="10245" width="20.5703125" style="3" customWidth="1"/>
    <col min="10246" max="10488" width="8.85546875" style="3"/>
    <col min="10489" max="10489" width="6.140625" style="3" customWidth="1"/>
    <col min="10490" max="10490" width="44.85546875" style="3" customWidth="1"/>
    <col min="10491" max="10491" width="16.140625" style="3" customWidth="1"/>
    <col min="10492" max="10492" width="16.85546875" style="3" customWidth="1"/>
    <col min="10493" max="10493" width="13.140625" style="3" customWidth="1"/>
    <col min="10494" max="10494" width="10.85546875" style="3" customWidth="1"/>
    <col min="10495" max="10495" width="18.85546875" style="3" customWidth="1"/>
    <col min="10496" max="10496" width="14.85546875" style="3" customWidth="1"/>
    <col min="10497" max="10497" width="16.85546875" style="3" customWidth="1"/>
    <col min="10498" max="10498" width="27.140625" style="3" customWidth="1"/>
    <col min="10499" max="10499" width="16.28515625" style="3" customWidth="1"/>
    <col min="10500" max="10500" width="17.7109375" style="3" customWidth="1"/>
    <col min="10501" max="10501" width="20.5703125" style="3" customWidth="1"/>
    <col min="10502" max="10744" width="8.85546875" style="3"/>
    <col min="10745" max="10745" width="6.140625" style="3" customWidth="1"/>
    <col min="10746" max="10746" width="44.85546875" style="3" customWidth="1"/>
    <col min="10747" max="10747" width="16.140625" style="3" customWidth="1"/>
    <col min="10748" max="10748" width="16.85546875" style="3" customWidth="1"/>
    <col min="10749" max="10749" width="13.140625" style="3" customWidth="1"/>
    <col min="10750" max="10750" width="10.85546875" style="3" customWidth="1"/>
    <col min="10751" max="10751" width="18.85546875" style="3" customWidth="1"/>
    <col min="10752" max="10752" width="14.85546875" style="3" customWidth="1"/>
    <col min="10753" max="10753" width="16.85546875" style="3" customWidth="1"/>
    <col min="10754" max="10754" width="27.140625" style="3" customWidth="1"/>
    <col min="10755" max="10755" width="16.28515625" style="3" customWidth="1"/>
    <col min="10756" max="10756" width="17.7109375" style="3" customWidth="1"/>
    <col min="10757" max="10757" width="20.5703125" style="3" customWidth="1"/>
    <col min="10758" max="11000" width="8.85546875" style="3"/>
    <col min="11001" max="11001" width="6.140625" style="3" customWidth="1"/>
    <col min="11002" max="11002" width="44.85546875" style="3" customWidth="1"/>
    <col min="11003" max="11003" width="16.140625" style="3" customWidth="1"/>
    <col min="11004" max="11004" width="16.85546875" style="3" customWidth="1"/>
    <col min="11005" max="11005" width="13.140625" style="3" customWidth="1"/>
    <col min="11006" max="11006" width="10.85546875" style="3" customWidth="1"/>
    <col min="11007" max="11007" width="18.85546875" style="3" customWidth="1"/>
    <col min="11008" max="11008" width="14.85546875" style="3" customWidth="1"/>
    <col min="11009" max="11009" width="16.85546875" style="3" customWidth="1"/>
    <col min="11010" max="11010" width="27.140625" style="3" customWidth="1"/>
    <col min="11011" max="11011" width="16.28515625" style="3" customWidth="1"/>
    <col min="11012" max="11012" width="17.7109375" style="3" customWidth="1"/>
    <col min="11013" max="11013" width="20.5703125" style="3" customWidth="1"/>
    <col min="11014" max="11256" width="8.85546875" style="3"/>
    <col min="11257" max="11257" width="6.140625" style="3" customWidth="1"/>
    <col min="11258" max="11258" width="44.85546875" style="3" customWidth="1"/>
    <col min="11259" max="11259" width="16.140625" style="3" customWidth="1"/>
    <col min="11260" max="11260" width="16.85546875" style="3" customWidth="1"/>
    <col min="11261" max="11261" width="13.140625" style="3" customWidth="1"/>
    <col min="11262" max="11262" width="10.85546875" style="3" customWidth="1"/>
    <col min="11263" max="11263" width="18.85546875" style="3" customWidth="1"/>
    <col min="11264" max="11264" width="14.85546875" style="3" customWidth="1"/>
    <col min="11265" max="11265" width="16.85546875" style="3" customWidth="1"/>
    <col min="11266" max="11266" width="27.140625" style="3" customWidth="1"/>
    <col min="11267" max="11267" width="16.28515625" style="3" customWidth="1"/>
    <col min="11268" max="11268" width="17.7109375" style="3" customWidth="1"/>
    <col min="11269" max="11269" width="20.5703125" style="3" customWidth="1"/>
    <col min="11270" max="11512" width="8.85546875" style="3"/>
    <col min="11513" max="11513" width="6.140625" style="3" customWidth="1"/>
    <col min="11514" max="11514" width="44.85546875" style="3" customWidth="1"/>
    <col min="11515" max="11515" width="16.140625" style="3" customWidth="1"/>
    <col min="11516" max="11516" width="16.85546875" style="3" customWidth="1"/>
    <col min="11517" max="11517" width="13.140625" style="3" customWidth="1"/>
    <col min="11518" max="11518" width="10.85546875" style="3" customWidth="1"/>
    <col min="11519" max="11519" width="18.85546875" style="3" customWidth="1"/>
    <col min="11520" max="11520" width="14.85546875" style="3" customWidth="1"/>
    <col min="11521" max="11521" width="16.85546875" style="3" customWidth="1"/>
    <col min="11522" max="11522" width="27.140625" style="3" customWidth="1"/>
    <col min="11523" max="11523" width="16.28515625" style="3" customWidth="1"/>
    <col min="11524" max="11524" width="17.7109375" style="3" customWidth="1"/>
    <col min="11525" max="11525" width="20.5703125" style="3" customWidth="1"/>
    <col min="11526" max="11768" width="8.85546875" style="3"/>
    <col min="11769" max="11769" width="6.140625" style="3" customWidth="1"/>
    <col min="11770" max="11770" width="44.85546875" style="3" customWidth="1"/>
    <col min="11771" max="11771" width="16.140625" style="3" customWidth="1"/>
    <col min="11772" max="11772" width="16.85546875" style="3" customWidth="1"/>
    <col min="11773" max="11773" width="13.140625" style="3" customWidth="1"/>
    <col min="11774" max="11774" width="10.85546875" style="3" customWidth="1"/>
    <col min="11775" max="11775" width="18.85546875" style="3" customWidth="1"/>
    <col min="11776" max="11776" width="14.85546875" style="3" customWidth="1"/>
    <col min="11777" max="11777" width="16.85546875" style="3" customWidth="1"/>
    <col min="11778" max="11778" width="27.140625" style="3" customWidth="1"/>
    <col min="11779" max="11779" width="16.28515625" style="3" customWidth="1"/>
    <col min="11780" max="11780" width="17.7109375" style="3" customWidth="1"/>
    <col min="11781" max="11781" width="20.5703125" style="3" customWidth="1"/>
    <col min="11782" max="12024" width="8.85546875" style="3"/>
    <col min="12025" max="12025" width="6.140625" style="3" customWidth="1"/>
    <col min="12026" max="12026" width="44.85546875" style="3" customWidth="1"/>
    <col min="12027" max="12027" width="16.140625" style="3" customWidth="1"/>
    <col min="12028" max="12028" width="16.85546875" style="3" customWidth="1"/>
    <col min="12029" max="12029" width="13.140625" style="3" customWidth="1"/>
    <col min="12030" max="12030" width="10.85546875" style="3" customWidth="1"/>
    <col min="12031" max="12031" width="18.85546875" style="3" customWidth="1"/>
    <col min="12032" max="12032" width="14.85546875" style="3" customWidth="1"/>
    <col min="12033" max="12033" width="16.85546875" style="3" customWidth="1"/>
    <col min="12034" max="12034" width="27.140625" style="3" customWidth="1"/>
    <col min="12035" max="12035" width="16.28515625" style="3" customWidth="1"/>
    <col min="12036" max="12036" width="17.7109375" style="3" customWidth="1"/>
    <col min="12037" max="12037" width="20.5703125" style="3" customWidth="1"/>
    <col min="12038" max="12280" width="8.85546875" style="3"/>
    <col min="12281" max="12281" width="6.140625" style="3" customWidth="1"/>
    <col min="12282" max="12282" width="44.85546875" style="3" customWidth="1"/>
    <col min="12283" max="12283" width="16.140625" style="3" customWidth="1"/>
    <col min="12284" max="12284" width="16.85546875" style="3" customWidth="1"/>
    <col min="12285" max="12285" width="13.140625" style="3" customWidth="1"/>
    <col min="12286" max="12286" width="10.85546875" style="3" customWidth="1"/>
    <col min="12287" max="12287" width="18.85546875" style="3" customWidth="1"/>
    <col min="12288" max="12288" width="14.85546875" style="3" customWidth="1"/>
    <col min="12289" max="12289" width="16.85546875" style="3" customWidth="1"/>
    <col min="12290" max="12290" width="27.140625" style="3" customWidth="1"/>
    <col min="12291" max="12291" width="16.28515625" style="3" customWidth="1"/>
    <col min="12292" max="12292" width="17.7109375" style="3" customWidth="1"/>
    <col min="12293" max="12293" width="20.5703125" style="3" customWidth="1"/>
    <col min="12294" max="12536" width="8.85546875" style="3"/>
    <col min="12537" max="12537" width="6.140625" style="3" customWidth="1"/>
    <col min="12538" max="12538" width="44.85546875" style="3" customWidth="1"/>
    <col min="12539" max="12539" width="16.140625" style="3" customWidth="1"/>
    <col min="12540" max="12540" width="16.85546875" style="3" customWidth="1"/>
    <col min="12541" max="12541" width="13.140625" style="3" customWidth="1"/>
    <col min="12542" max="12542" width="10.85546875" style="3" customWidth="1"/>
    <col min="12543" max="12543" width="18.85546875" style="3" customWidth="1"/>
    <col min="12544" max="12544" width="14.85546875" style="3" customWidth="1"/>
    <col min="12545" max="12545" width="16.85546875" style="3" customWidth="1"/>
    <col min="12546" max="12546" width="27.140625" style="3" customWidth="1"/>
    <col min="12547" max="12547" width="16.28515625" style="3" customWidth="1"/>
    <col min="12548" max="12548" width="17.7109375" style="3" customWidth="1"/>
    <col min="12549" max="12549" width="20.5703125" style="3" customWidth="1"/>
    <col min="12550" max="12792" width="8.85546875" style="3"/>
    <col min="12793" max="12793" width="6.140625" style="3" customWidth="1"/>
    <col min="12794" max="12794" width="44.85546875" style="3" customWidth="1"/>
    <col min="12795" max="12795" width="16.140625" style="3" customWidth="1"/>
    <col min="12796" max="12796" width="16.85546875" style="3" customWidth="1"/>
    <col min="12797" max="12797" width="13.140625" style="3" customWidth="1"/>
    <col min="12798" max="12798" width="10.85546875" style="3" customWidth="1"/>
    <col min="12799" max="12799" width="18.85546875" style="3" customWidth="1"/>
    <col min="12800" max="12800" width="14.85546875" style="3" customWidth="1"/>
    <col min="12801" max="12801" width="16.85546875" style="3" customWidth="1"/>
    <col min="12802" max="12802" width="27.140625" style="3" customWidth="1"/>
    <col min="12803" max="12803" width="16.28515625" style="3" customWidth="1"/>
    <col min="12804" max="12804" width="17.7109375" style="3" customWidth="1"/>
    <col min="12805" max="12805" width="20.5703125" style="3" customWidth="1"/>
    <col min="12806" max="13048" width="8.85546875" style="3"/>
    <col min="13049" max="13049" width="6.140625" style="3" customWidth="1"/>
    <col min="13050" max="13050" width="44.85546875" style="3" customWidth="1"/>
    <col min="13051" max="13051" width="16.140625" style="3" customWidth="1"/>
    <col min="13052" max="13052" width="16.85546875" style="3" customWidth="1"/>
    <col min="13053" max="13053" width="13.140625" style="3" customWidth="1"/>
    <col min="13054" max="13054" width="10.85546875" style="3" customWidth="1"/>
    <col min="13055" max="13055" width="18.85546875" style="3" customWidth="1"/>
    <col min="13056" max="13056" width="14.85546875" style="3" customWidth="1"/>
    <col min="13057" max="13057" width="16.85546875" style="3" customWidth="1"/>
    <col min="13058" max="13058" width="27.140625" style="3" customWidth="1"/>
    <col min="13059" max="13059" width="16.28515625" style="3" customWidth="1"/>
    <col min="13060" max="13060" width="17.7109375" style="3" customWidth="1"/>
    <col min="13061" max="13061" width="20.5703125" style="3" customWidth="1"/>
    <col min="13062" max="13304" width="8.85546875" style="3"/>
    <col min="13305" max="13305" width="6.140625" style="3" customWidth="1"/>
    <col min="13306" max="13306" width="44.85546875" style="3" customWidth="1"/>
    <col min="13307" max="13307" width="16.140625" style="3" customWidth="1"/>
    <col min="13308" max="13308" width="16.85546875" style="3" customWidth="1"/>
    <col min="13309" max="13309" width="13.140625" style="3" customWidth="1"/>
    <col min="13310" max="13310" width="10.85546875" style="3" customWidth="1"/>
    <col min="13311" max="13311" width="18.85546875" style="3" customWidth="1"/>
    <col min="13312" max="13312" width="14.85546875" style="3" customWidth="1"/>
    <col min="13313" max="13313" width="16.85546875" style="3" customWidth="1"/>
    <col min="13314" max="13314" width="27.140625" style="3" customWidth="1"/>
    <col min="13315" max="13315" width="16.28515625" style="3" customWidth="1"/>
    <col min="13316" max="13316" width="17.7109375" style="3" customWidth="1"/>
    <col min="13317" max="13317" width="20.5703125" style="3" customWidth="1"/>
    <col min="13318" max="13560" width="8.85546875" style="3"/>
    <col min="13561" max="13561" width="6.140625" style="3" customWidth="1"/>
    <col min="13562" max="13562" width="44.85546875" style="3" customWidth="1"/>
    <col min="13563" max="13563" width="16.140625" style="3" customWidth="1"/>
    <col min="13564" max="13564" width="16.85546875" style="3" customWidth="1"/>
    <col min="13565" max="13565" width="13.140625" style="3" customWidth="1"/>
    <col min="13566" max="13566" width="10.85546875" style="3" customWidth="1"/>
    <col min="13567" max="13567" width="18.85546875" style="3" customWidth="1"/>
    <col min="13568" max="13568" width="14.85546875" style="3" customWidth="1"/>
    <col min="13569" max="13569" width="16.85546875" style="3" customWidth="1"/>
    <col min="13570" max="13570" width="27.140625" style="3" customWidth="1"/>
    <col min="13571" max="13571" width="16.28515625" style="3" customWidth="1"/>
    <col min="13572" max="13572" width="17.7109375" style="3" customWidth="1"/>
    <col min="13573" max="13573" width="20.5703125" style="3" customWidth="1"/>
    <col min="13574" max="13816" width="8.85546875" style="3"/>
    <col min="13817" max="13817" width="6.140625" style="3" customWidth="1"/>
    <col min="13818" max="13818" width="44.85546875" style="3" customWidth="1"/>
    <col min="13819" max="13819" width="16.140625" style="3" customWidth="1"/>
    <col min="13820" max="13820" width="16.85546875" style="3" customWidth="1"/>
    <col min="13821" max="13821" width="13.140625" style="3" customWidth="1"/>
    <col min="13822" max="13822" width="10.85546875" style="3" customWidth="1"/>
    <col min="13823" max="13823" width="18.85546875" style="3" customWidth="1"/>
    <col min="13824" max="13824" width="14.85546875" style="3" customWidth="1"/>
    <col min="13825" max="13825" width="16.85546875" style="3" customWidth="1"/>
    <col min="13826" max="13826" width="27.140625" style="3" customWidth="1"/>
    <col min="13827" max="13827" width="16.28515625" style="3" customWidth="1"/>
    <col min="13828" max="13828" width="17.7109375" style="3" customWidth="1"/>
    <col min="13829" max="13829" width="20.5703125" style="3" customWidth="1"/>
    <col min="13830" max="14072" width="8.85546875" style="3"/>
    <col min="14073" max="14073" width="6.140625" style="3" customWidth="1"/>
    <col min="14074" max="14074" width="44.85546875" style="3" customWidth="1"/>
    <col min="14075" max="14075" width="16.140625" style="3" customWidth="1"/>
    <col min="14076" max="14076" width="16.85546875" style="3" customWidth="1"/>
    <col min="14077" max="14077" width="13.140625" style="3" customWidth="1"/>
    <col min="14078" max="14078" width="10.85546875" style="3" customWidth="1"/>
    <col min="14079" max="14079" width="18.85546875" style="3" customWidth="1"/>
    <col min="14080" max="14080" width="14.85546875" style="3" customWidth="1"/>
    <col min="14081" max="14081" width="16.85546875" style="3" customWidth="1"/>
    <col min="14082" max="14082" width="27.140625" style="3" customWidth="1"/>
    <col min="14083" max="14083" width="16.28515625" style="3" customWidth="1"/>
    <col min="14084" max="14084" width="17.7109375" style="3" customWidth="1"/>
    <col min="14085" max="14085" width="20.5703125" style="3" customWidth="1"/>
    <col min="14086" max="14328" width="8.85546875" style="3"/>
    <col min="14329" max="14329" width="6.140625" style="3" customWidth="1"/>
    <col min="14330" max="14330" width="44.85546875" style="3" customWidth="1"/>
    <col min="14331" max="14331" width="16.140625" style="3" customWidth="1"/>
    <col min="14332" max="14332" width="16.85546875" style="3" customWidth="1"/>
    <col min="14333" max="14333" width="13.140625" style="3" customWidth="1"/>
    <col min="14334" max="14334" width="10.85546875" style="3" customWidth="1"/>
    <col min="14335" max="14335" width="18.85546875" style="3" customWidth="1"/>
    <col min="14336" max="14336" width="14.85546875" style="3" customWidth="1"/>
    <col min="14337" max="14337" width="16.85546875" style="3" customWidth="1"/>
    <col min="14338" max="14338" width="27.140625" style="3" customWidth="1"/>
    <col min="14339" max="14339" width="16.28515625" style="3" customWidth="1"/>
    <col min="14340" max="14340" width="17.7109375" style="3" customWidth="1"/>
    <col min="14341" max="14341" width="20.5703125" style="3" customWidth="1"/>
    <col min="14342" max="14584" width="8.85546875" style="3"/>
    <col min="14585" max="14585" width="6.140625" style="3" customWidth="1"/>
    <col min="14586" max="14586" width="44.85546875" style="3" customWidth="1"/>
    <col min="14587" max="14587" width="16.140625" style="3" customWidth="1"/>
    <col min="14588" max="14588" width="16.85546875" style="3" customWidth="1"/>
    <col min="14589" max="14589" width="13.140625" style="3" customWidth="1"/>
    <col min="14590" max="14590" width="10.85546875" style="3" customWidth="1"/>
    <col min="14591" max="14591" width="18.85546875" style="3" customWidth="1"/>
    <col min="14592" max="14592" width="14.85546875" style="3" customWidth="1"/>
    <col min="14593" max="14593" width="16.85546875" style="3" customWidth="1"/>
    <col min="14594" max="14594" width="27.140625" style="3" customWidth="1"/>
    <col min="14595" max="14595" width="16.28515625" style="3" customWidth="1"/>
    <col min="14596" max="14596" width="17.7109375" style="3" customWidth="1"/>
    <col min="14597" max="14597" width="20.5703125" style="3" customWidth="1"/>
    <col min="14598" max="14840" width="8.85546875" style="3"/>
    <col min="14841" max="14841" width="6.140625" style="3" customWidth="1"/>
    <col min="14842" max="14842" width="44.85546875" style="3" customWidth="1"/>
    <col min="14843" max="14843" width="16.140625" style="3" customWidth="1"/>
    <col min="14844" max="14844" width="16.85546875" style="3" customWidth="1"/>
    <col min="14845" max="14845" width="13.140625" style="3" customWidth="1"/>
    <col min="14846" max="14846" width="10.85546875" style="3" customWidth="1"/>
    <col min="14847" max="14847" width="18.85546875" style="3" customWidth="1"/>
    <col min="14848" max="14848" width="14.85546875" style="3" customWidth="1"/>
    <col min="14849" max="14849" width="16.85546875" style="3" customWidth="1"/>
    <col min="14850" max="14850" width="27.140625" style="3" customWidth="1"/>
    <col min="14851" max="14851" width="16.28515625" style="3" customWidth="1"/>
    <col min="14852" max="14852" width="17.7109375" style="3" customWidth="1"/>
    <col min="14853" max="14853" width="20.5703125" style="3" customWidth="1"/>
    <col min="14854" max="15096" width="8.85546875" style="3"/>
    <col min="15097" max="15097" width="6.140625" style="3" customWidth="1"/>
    <col min="15098" max="15098" width="44.85546875" style="3" customWidth="1"/>
    <col min="15099" max="15099" width="16.140625" style="3" customWidth="1"/>
    <col min="15100" max="15100" width="16.85546875" style="3" customWidth="1"/>
    <col min="15101" max="15101" width="13.140625" style="3" customWidth="1"/>
    <col min="15102" max="15102" width="10.85546875" style="3" customWidth="1"/>
    <col min="15103" max="15103" width="18.85546875" style="3" customWidth="1"/>
    <col min="15104" max="15104" width="14.85546875" style="3" customWidth="1"/>
    <col min="15105" max="15105" width="16.85546875" style="3" customWidth="1"/>
    <col min="15106" max="15106" width="27.140625" style="3" customWidth="1"/>
    <col min="15107" max="15107" width="16.28515625" style="3" customWidth="1"/>
    <col min="15108" max="15108" width="17.7109375" style="3" customWidth="1"/>
    <col min="15109" max="15109" width="20.5703125" style="3" customWidth="1"/>
    <col min="15110" max="15352" width="8.85546875" style="3"/>
    <col min="15353" max="15353" width="6.140625" style="3" customWidth="1"/>
    <col min="15354" max="15354" width="44.85546875" style="3" customWidth="1"/>
    <col min="15355" max="15355" width="16.140625" style="3" customWidth="1"/>
    <col min="15356" max="15356" width="16.85546875" style="3" customWidth="1"/>
    <col min="15357" max="15357" width="13.140625" style="3" customWidth="1"/>
    <col min="15358" max="15358" width="10.85546875" style="3" customWidth="1"/>
    <col min="15359" max="15359" width="18.85546875" style="3" customWidth="1"/>
    <col min="15360" max="15360" width="14.85546875" style="3" customWidth="1"/>
    <col min="15361" max="15361" width="16.85546875" style="3" customWidth="1"/>
    <col min="15362" max="15362" width="27.140625" style="3" customWidth="1"/>
    <col min="15363" max="15363" width="16.28515625" style="3" customWidth="1"/>
    <col min="15364" max="15364" width="17.7109375" style="3" customWidth="1"/>
    <col min="15365" max="15365" width="20.5703125" style="3" customWidth="1"/>
    <col min="15366" max="15608" width="8.85546875" style="3"/>
    <col min="15609" max="15609" width="6.140625" style="3" customWidth="1"/>
    <col min="15610" max="15610" width="44.85546875" style="3" customWidth="1"/>
    <col min="15611" max="15611" width="16.140625" style="3" customWidth="1"/>
    <col min="15612" max="15612" width="16.85546875" style="3" customWidth="1"/>
    <col min="15613" max="15613" width="13.140625" style="3" customWidth="1"/>
    <col min="15614" max="15614" width="10.85546875" style="3" customWidth="1"/>
    <col min="15615" max="15615" width="18.85546875" style="3" customWidth="1"/>
    <col min="15616" max="15616" width="14.85546875" style="3" customWidth="1"/>
    <col min="15617" max="15617" width="16.85546875" style="3" customWidth="1"/>
    <col min="15618" max="15618" width="27.140625" style="3" customWidth="1"/>
    <col min="15619" max="15619" width="16.28515625" style="3" customWidth="1"/>
    <col min="15620" max="15620" width="17.7109375" style="3" customWidth="1"/>
    <col min="15621" max="15621" width="20.5703125" style="3" customWidth="1"/>
    <col min="15622" max="15864" width="8.85546875" style="3"/>
    <col min="15865" max="15865" width="6.140625" style="3" customWidth="1"/>
    <col min="15866" max="15866" width="44.85546875" style="3" customWidth="1"/>
    <col min="15867" max="15867" width="16.140625" style="3" customWidth="1"/>
    <col min="15868" max="15868" width="16.85546875" style="3" customWidth="1"/>
    <col min="15869" max="15869" width="13.140625" style="3" customWidth="1"/>
    <col min="15870" max="15870" width="10.85546875" style="3" customWidth="1"/>
    <col min="15871" max="15871" width="18.85546875" style="3" customWidth="1"/>
    <col min="15872" max="15872" width="14.85546875" style="3" customWidth="1"/>
    <col min="15873" max="15873" width="16.85546875" style="3" customWidth="1"/>
    <col min="15874" max="15874" width="27.140625" style="3" customWidth="1"/>
    <col min="15875" max="15875" width="16.28515625" style="3" customWidth="1"/>
    <col min="15876" max="15876" width="17.7109375" style="3" customWidth="1"/>
    <col min="15877" max="15877" width="20.5703125" style="3" customWidth="1"/>
    <col min="15878" max="16120" width="8.85546875" style="3"/>
    <col min="16121" max="16121" width="6.140625" style="3" customWidth="1"/>
    <col min="16122" max="16122" width="44.85546875" style="3" customWidth="1"/>
    <col min="16123" max="16123" width="16.140625" style="3" customWidth="1"/>
    <col min="16124" max="16124" width="16.85546875" style="3" customWidth="1"/>
    <col min="16125" max="16125" width="13.140625" style="3" customWidth="1"/>
    <col min="16126" max="16126" width="10.85546875" style="3" customWidth="1"/>
    <col min="16127" max="16127" width="18.85546875" style="3" customWidth="1"/>
    <col min="16128" max="16128" width="14.85546875" style="3" customWidth="1"/>
    <col min="16129" max="16129" width="16.85546875" style="3" customWidth="1"/>
    <col min="16130" max="16130" width="27.140625" style="3" customWidth="1"/>
    <col min="16131" max="16131" width="16.28515625" style="3" customWidth="1"/>
    <col min="16132" max="16132" width="17.7109375" style="3" customWidth="1"/>
    <col min="16133" max="16133" width="20.5703125" style="3" customWidth="1"/>
    <col min="16134" max="16384" width="8.85546875" style="3"/>
  </cols>
  <sheetData>
    <row r="1" spans="1:20" ht="16.5">
      <c r="A1" s="354" t="s">
        <v>517</v>
      </c>
      <c r="B1" s="354"/>
      <c r="F1" s="6" t="s">
        <v>14</v>
      </c>
    </row>
    <row r="2" spans="1:20" ht="34.5" customHeight="1">
      <c r="A2" s="356" t="s">
        <v>396</v>
      </c>
      <c r="B2" s="356"/>
      <c r="C2" s="356"/>
      <c r="D2" s="356"/>
      <c r="E2" s="356"/>
      <c r="F2" s="356"/>
    </row>
    <row r="3" spans="1:20" ht="34.5" customHeight="1">
      <c r="A3" s="357" t="str">
        <f>TH!A5</f>
        <v>(Kèm theo Nghị quyết số            /NQ-HĐND ngày     tháng     năm 2023 của Hội đồng nhân dân huyện)</v>
      </c>
      <c r="B3" s="357"/>
      <c r="C3" s="357"/>
      <c r="D3" s="357"/>
      <c r="E3" s="357"/>
      <c r="F3" s="357"/>
    </row>
    <row r="4" spans="1:20" ht="21.75" customHeight="1">
      <c r="F4" s="8" t="s">
        <v>15</v>
      </c>
    </row>
    <row r="5" spans="1:20" ht="15.75">
      <c r="A5" s="358" t="s">
        <v>0</v>
      </c>
      <c r="B5" s="358" t="s">
        <v>16</v>
      </c>
      <c r="C5" s="359" t="s">
        <v>17</v>
      </c>
      <c r="D5" s="360" t="s">
        <v>18</v>
      </c>
      <c r="E5" s="359" t="s">
        <v>19</v>
      </c>
      <c r="F5" s="359"/>
    </row>
    <row r="6" spans="1:20" ht="31.5">
      <c r="A6" s="358"/>
      <c r="B6" s="358"/>
      <c r="C6" s="359"/>
      <c r="D6" s="360"/>
      <c r="E6" s="9" t="s">
        <v>20</v>
      </c>
      <c r="F6" s="9" t="s">
        <v>21</v>
      </c>
    </row>
    <row r="7" spans="1:20" s="13" customFormat="1" ht="15.75">
      <c r="A7" s="10" t="s">
        <v>22</v>
      </c>
      <c r="B7" s="10" t="s">
        <v>23</v>
      </c>
      <c r="C7" s="11">
        <v>1</v>
      </c>
      <c r="D7" s="11">
        <v>2</v>
      </c>
      <c r="E7" s="12" t="s">
        <v>24</v>
      </c>
      <c r="F7" s="12" t="s">
        <v>25</v>
      </c>
      <c r="G7" s="175"/>
      <c r="H7" s="326"/>
      <c r="I7" s="326" t="s">
        <v>425</v>
      </c>
      <c r="J7" s="326" t="s">
        <v>427</v>
      </c>
      <c r="K7" s="326"/>
      <c r="L7" s="326"/>
      <c r="M7" s="326"/>
      <c r="N7" s="326"/>
      <c r="O7" s="326"/>
      <c r="P7" s="326"/>
      <c r="Q7" s="326"/>
      <c r="R7" s="326"/>
      <c r="S7" s="326"/>
      <c r="T7" s="326"/>
    </row>
    <row r="8" spans="1:20" ht="24" customHeight="1">
      <c r="A8" s="14" t="s">
        <v>22</v>
      </c>
      <c r="B8" s="15" t="s">
        <v>26</v>
      </c>
      <c r="C8" s="167">
        <f>C9+C12+C15+C16+C17+C18</f>
        <v>307084</v>
      </c>
      <c r="D8" s="167">
        <f>D9+D12+D15+D16+D17+D18</f>
        <v>541264.54910599999</v>
      </c>
      <c r="E8" s="166">
        <f>E9+E12+E15+E16+E17+E18</f>
        <v>207294.084798</v>
      </c>
      <c r="F8" s="166">
        <f>D8/C8*100</f>
        <v>176.25944337901029</v>
      </c>
      <c r="I8" s="327">
        <v>613219.95872600004</v>
      </c>
      <c r="J8" s="328">
        <f>I8-D8</f>
        <v>71955.409620000049</v>
      </c>
    </row>
    <row r="9" spans="1:20" ht="24" customHeight="1">
      <c r="A9" s="14" t="s">
        <v>3</v>
      </c>
      <c r="B9" s="15" t="s">
        <v>27</v>
      </c>
      <c r="C9" s="167">
        <f>C10+C11</f>
        <v>32177</v>
      </c>
      <c r="D9" s="167">
        <f>D10+D11</f>
        <v>55554.055797999994</v>
      </c>
      <c r="E9" s="166">
        <f>E10+E11</f>
        <v>23377.055797999998</v>
      </c>
      <c r="F9" s="166">
        <f t="shared" ref="F9:F14" si="0">D9/C9*100</f>
        <v>172.6514460577431</v>
      </c>
    </row>
    <row r="10" spans="1:20" ht="24" customHeight="1">
      <c r="A10" s="10" t="s">
        <v>28</v>
      </c>
      <c r="B10" s="17" t="s">
        <v>29</v>
      </c>
      <c r="C10" s="168">
        <v>2435</v>
      </c>
      <c r="D10" s="216">
        <v>414.56500499999999</v>
      </c>
      <c r="E10" s="12">
        <f>D10-C10</f>
        <v>-2020.4349950000001</v>
      </c>
      <c r="F10" s="12">
        <f t="shared" si="0"/>
        <v>17.025256878850101</v>
      </c>
    </row>
    <row r="11" spans="1:20" ht="24" customHeight="1">
      <c r="A11" s="10" t="s">
        <v>28</v>
      </c>
      <c r="B11" s="17" t="s">
        <v>30</v>
      </c>
      <c r="C11" s="168">
        <v>29742</v>
      </c>
      <c r="D11" s="216">
        <v>55139.490792999997</v>
      </c>
      <c r="E11" s="12">
        <f>D11-C11</f>
        <v>25397.490792999997</v>
      </c>
      <c r="F11" s="12">
        <f t="shared" si="0"/>
        <v>185.39267968865576</v>
      </c>
    </row>
    <row r="12" spans="1:20" ht="24" customHeight="1">
      <c r="A12" s="14" t="s">
        <v>31</v>
      </c>
      <c r="B12" s="15" t="s">
        <v>32</v>
      </c>
      <c r="C12" s="167">
        <f>C13+C14</f>
        <v>274907</v>
      </c>
      <c r="D12" s="167">
        <f>D13+D14</f>
        <v>458824.02899999998</v>
      </c>
      <c r="E12" s="166">
        <f>E13+E14</f>
        <v>183917.02900000001</v>
      </c>
      <c r="F12" s="166">
        <f t="shared" si="0"/>
        <v>166.90154452232937</v>
      </c>
    </row>
    <row r="13" spans="1:20" ht="24" customHeight="1">
      <c r="A13" s="10">
        <v>1</v>
      </c>
      <c r="B13" s="17" t="s">
        <v>33</v>
      </c>
      <c r="C13" s="168">
        <v>268719</v>
      </c>
      <c r="D13" s="168">
        <v>268719</v>
      </c>
      <c r="E13" s="12">
        <f>D13-C13</f>
        <v>0</v>
      </c>
      <c r="F13" s="12">
        <f t="shared" si="0"/>
        <v>100</v>
      </c>
    </row>
    <row r="14" spans="1:20" ht="24" customHeight="1">
      <c r="A14" s="10">
        <v>2</v>
      </c>
      <c r="B14" s="17" t="s">
        <v>34</v>
      </c>
      <c r="C14" s="168">
        <v>6188</v>
      </c>
      <c r="D14" s="168">
        <v>190105.02900000001</v>
      </c>
      <c r="E14" s="12">
        <f>D14-C14</f>
        <v>183917.02900000001</v>
      </c>
      <c r="F14" s="12">
        <f t="shared" si="0"/>
        <v>3072.1562540400778</v>
      </c>
    </row>
    <row r="15" spans="1:20" ht="15.75">
      <c r="A15" s="14" t="s">
        <v>35</v>
      </c>
      <c r="B15" s="15" t="s">
        <v>36</v>
      </c>
      <c r="C15" s="168"/>
      <c r="D15" s="168"/>
      <c r="E15" s="12"/>
      <c r="F15" s="12"/>
    </row>
    <row r="16" spans="1:20" ht="15.75">
      <c r="A16" s="14" t="s">
        <v>37</v>
      </c>
      <c r="B16" s="15" t="s">
        <v>38</v>
      </c>
      <c r="C16" s="168"/>
      <c r="D16" s="167">
        <v>616.51746700000001</v>
      </c>
      <c r="E16" s="12"/>
      <c r="F16" s="12"/>
    </row>
    <row r="17" spans="1:20" ht="15.75">
      <c r="A17" s="14" t="s">
        <v>39</v>
      </c>
      <c r="B17" s="15" t="s">
        <v>40</v>
      </c>
      <c r="C17" s="168"/>
      <c r="D17" s="167">
        <v>26042.411764</v>
      </c>
      <c r="E17" s="12"/>
      <c r="F17" s="12"/>
    </row>
    <row r="18" spans="1:20" ht="24" customHeight="1">
      <c r="A18" s="14" t="s">
        <v>41</v>
      </c>
      <c r="B18" s="15" t="s">
        <v>42</v>
      </c>
      <c r="C18" s="168"/>
      <c r="D18" s="167">
        <v>227.535077</v>
      </c>
      <c r="E18" s="12"/>
      <c r="F18" s="12"/>
      <c r="I18" s="325" t="s">
        <v>417</v>
      </c>
      <c r="J18" s="325" t="s">
        <v>416</v>
      </c>
      <c r="K18" s="328"/>
    </row>
    <row r="19" spans="1:20" ht="24" customHeight="1">
      <c r="A19" s="14" t="s">
        <v>23</v>
      </c>
      <c r="B19" s="15" t="s">
        <v>43</v>
      </c>
      <c r="C19" s="167">
        <f>C20+C27+C34+C35</f>
        <v>307084</v>
      </c>
      <c r="D19" s="167">
        <f>D20+D27+D34+D35</f>
        <v>540020.47557699995</v>
      </c>
      <c r="E19" s="166">
        <f>E20+E27+E34+E35</f>
        <v>97373.880946999969</v>
      </c>
      <c r="F19" s="166">
        <f>D19/C19*100</f>
        <v>175.85431855029893</v>
      </c>
      <c r="I19" s="329">
        <v>539020.58799999999</v>
      </c>
      <c r="J19" s="330">
        <f>D19-I19</f>
        <v>999.88757699995767</v>
      </c>
    </row>
    <row r="20" spans="1:20" ht="24" customHeight="1">
      <c r="A20" s="14" t="s">
        <v>3</v>
      </c>
      <c r="B20" s="15" t="s">
        <v>44</v>
      </c>
      <c r="C20" s="167">
        <f>SUM(C21:C26)</f>
        <v>300896</v>
      </c>
      <c r="D20" s="167">
        <f>SUM(D21:D26)</f>
        <v>300972.29649199999</v>
      </c>
      <c r="E20" s="166">
        <f>SUM(E21:E26)</f>
        <v>76.296491999965838</v>
      </c>
      <c r="F20" s="166">
        <f>D20/C20*100</f>
        <v>100.0253564327874</v>
      </c>
      <c r="I20" s="331" t="s">
        <v>418</v>
      </c>
    </row>
    <row r="21" spans="1:20" s="22" customFormat="1" ht="24" customHeight="1">
      <c r="A21" s="19">
        <v>1</v>
      </c>
      <c r="B21" s="20" t="s">
        <v>45</v>
      </c>
      <c r="C21" s="169">
        <v>7678</v>
      </c>
      <c r="D21" s="217">
        <v>11019.230011</v>
      </c>
      <c r="E21" s="21">
        <f>D21-C21</f>
        <v>3341.2300109999996</v>
      </c>
      <c r="F21" s="21">
        <f>D21/C21*100</f>
        <v>143.51693163584267</v>
      </c>
      <c r="G21" s="43"/>
      <c r="H21" s="332"/>
      <c r="I21" s="333">
        <f>D21+D32+D29</f>
        <v>82673.428809000005</v>
      </c>
      <c r="J21" s="332"/>
      <c r="K21" s="332"/>
      <c r="L21" s="332"/>
      <c r="M21" s="332"/>
      <c r="N21" s="332"/>
      <c r="O21" s="332"/>
      <c r="P21" s="332"/>
      <c r="Q21" s="332"/>
      <c r="R21" s="332"/>
      <c r="S21" s="332"/>
      <c r="T21" s="332"/>
    </row>
    <row r="22" spans="1:20" ht="15.75">
      <c r="A22" s="10">
        <v>2</v>
      </c>
      <c r="B22" s="17" t="s">
        <v>46</v>
      </c>
      <c r="C22" s="168">
        <v>287200</v>
      </c>
      <c r="D22" s="216">
        <f>289953.066481-6051.498</f>
        <v>283901.56848099997</v>
      </c>
      <c r="E22" s="12">
        <f>D22-C22</f>
        <v>-3298.4315190000343</v>
      </c>
      <c r="F22" s="12">
        <f>D22/C22*100</f>
        <v>98.851521058844</v>
      </c>
      <c r="I22" s="325" t="s">
        <v>420</v>
      </c>
      <c r="J22" s="331" t="s">
        <v>419</v>
      </c>
      <c r="K22" s="332" t="s">
        <v>415</v>
      </c>
      <c r="M22" s="332"/>
    </row>
    <row r="23" spans="1:20" ht="35.25" customHeight="1">
      <c r="A23" s="10">
        <v>3</v>
      </c>
      <c r="B23" s="17" t="s">
        <v>47</v>
      </c>
      <c r="C23" s="168"/>
      <c r="D23" s="168"/>
      <c r="E23" s="12">
        <f t="shared" ref="E23:E26" si="1">D23-C23</f>
        <v>0</v>
      </c>
      <c r="F23" s="12"/>
      <c r="I23" s="328">
        <f>D22+D30+D33</f>
        <v>315732.95413799997</v>
      </c>
      <c r="J23" s="328">
        <v>321784.45213799999</v>
      </c>
      <c r="K23" s="328">
        <f>J23-I23</f>
        <v>6051.4980000000214</v>
      </c>
    </row>
    <row r="24" spans="1:20" ht="24" customHeight="1">
      <c r="A24" s="10">
        <v>4</v>
      </c>
      <c r="B24" s="17" t="s">
        <v>48</v>
      </c>
      <c r="C24" s="168"/>
      <c r="D24" s="168"/>
      <c r="E24" s="12">
        <f t="shared" si="1"/>
        <v>0</v>
      </c>
      <c r="F24" s="12"/>
      <c r="I24" s="328"/>
      <c r="J24" s="328">
        <f>J23-J25-J26</f>
        <v>289953.06648099999</v>
      </c>
      <c r="K24" s="325" t="s">
        <v>423</v>
      </c>
    </row>
    <row r="25" spans="1:20" ht="24" customHeight="1">
      <c r="A25" s="10">
        <v>5</v>
      </c>
      <c r="B25" s="17" t="s">
        <v>49</v>
      </c>
      <c r="C25" s="168">
        <v>6018</v>
      </c>
      <c r="D25" s="168">
        <v>6051.4980000000005</v>
      </c>
      <c r="E25" s="12">
        <f t="shared" si="1"/>
        <v>33.498000000000502</v>
      </c>
      <c r="F25" s="12"/>
      <c r="I25" s="334"/>
      <c r="J25" s="335">
        <v>12046.707957000001</v>
      </c>
      <c r="K25" s="325" t="s">
        <v>422</v>
      </c>
    </row>
    <row r="26" spans="1:20" ht="24" customHeight="1">
      <c r="A26" s="10">
        <v>6</v>
      </c>
      <c r="B26" s="17" t="s">
        <v>50</v>
      </c>
      <c r="C26" s="168"/>
      <c r="D26" s="168"/>
      <c r="E26" s="12">
        <f t="shared" si="1"/>
        <v>0</v>
      </c>
      <c r="F26" s="12"/>
      <c r="J26" s="335">
        <v>19784.6777</v>
      </c>
      <c r="K26" s="325" t="s">
        <v>421</v>
      </c>
    </row>
    <row r="27" spans="1:20" ht="24" customHeight="1">
      <c r="A27" s="14" t="s">
        <v>31</v>
      </c>
      <c r="B27" s="15" t="s">
        <v>51</v>
      </c>
      <c r="C27" s="167">
        <f>C28+C31</f>
        <v>6188</v>
      </c>
      <c r="D27" s="167">
        <f>D28+D31</f>
        <v>103485.584455</v>
      </c>
      <c r="E27" s="166">
        <f>E28+E31</f>
        <v>97297.584455000004</v>
      </c>
      <c r="F27" s="166">
        <f>D27/C27*100</f>
        <v>1672.3591540885586</v>
      </c>
      <c r="I27" s="336"/>
    </row>
    <row r="28" spans="1:20" s="22" customFormat="1" ht="24" customHeight="1">
      <c r="A28" s="19">
        <v>1</v>
      </c>
      <c r="B28" s="20" t="s">
        <v>52</v>
      </c>
      <c r="C28" s="169">
        <f>C29+C30</f>
        <v>0</v>
      </c>
      <c r="D28" s="169">
        <f t="shared" ref="D28:F28" si="2">D29+D30</f>
        <v>78973.546455000003</v>
      </c>
      <c r="E28" s="21">
        <f>D28-C28</f>
        <v>78973.546455000003</v>
      </c>
      <c r="F28" s="21">
        <f t="shared" si="2"/>
        <v>0</v>
      </c>
      <c r="G28" s="43"/>
      <c r="H28" s="332"/>
      <c r="I28" s="332"/>
      <c r="J28" s="332"/>
      <c r="K28" s="332"/>
      <c r="L28" s="332"/>
      <c r="M28" s="332"/>
      <c r="N28" s="332"/>
      <c r="O28" s="332"/>
      <c r="P28" s="332"/>
      <c r="Q28" s="332"/>
      <c r="R28" s="332"/>
      <c r="S28" s="332"/>
      <c r="T28" s="332"/>
    </row>
    <row r="29" spans="1:20" s="22" customFormat="1" ht="24" customHeight="1">
      <c r="A29" s="138" t="s">
        <v>28</v>
      </c>
      <c r="B29" s="20" t="s">
        <v>167</v>
      </c>
      <c r="C29" s="169"/>
      <c r="D29" s="169">
        <v>66926.838497999997</v>
      </c>
      <c r="E29" s="21"/>
      <c r="F29" s="21"/>
      <c r="G29" s="43"/>
      <c r="H29" s="332"/>
      <c r="I29" s="332"/>
      <c r="J29" s="332"/>
      <c r="K29" s="332"/>
      <c r="L29" s="332"/>
      <c r="M29" s="332"/>
      <c r="N29" s="332"/>
      <c r="O29" s="332"/>
      <c r="P29" s="332"/>
      <c r="Q29" s="332"/>
      <c r="R29" s="332"/>
      <c r="S29" s="332"/>
      <c r="T29" s="332"/>
    </row>
    <row r="30" spans="1:20" s="22" customFormat="1" ht="24" customHeight="1">
      <c r="A30" s="138" t="s">
        <v>28</v>
      </c>
      <c r="B30" s="20" t="s">
        <v>175</v>
      </c>
      <c r="C30" s="169"/>
      <c r="D30" s="169">
        <v>12046.707957000001</v>
      </c>
      <c r="E30" s="21"/>
      <c r="F30" s="21"/>
      <c r="G30" s="43"/>
      <c r="H30" s="332"/>
      <c r="I30" s="332"/>
      <c r="J30" s="332"/>
      <c r="K30" s="332"/>
      <c r="L30" s="332"/>
      <c r="M30" s="332"/>
      <c r="N30" s="332"/>
      <c r="O30" s="332"/>
      <c r="P30" s="332"/>
      <c r="Q30" s="332"/>
      <c r="R30" s="332"/>
      <c r="S30" s="332"/>
      <c r="T30" s="332"/>
    </row>
    <row r="31" spans="1:20" s="22" customFormat="1" ht="24" customHeight="1">
      <c r="A31" s="19">
        <v>2</v>
      </c>
      <c r="B31" s="20" t="s">
        <v>53</v>
      </c>
      <c r="C31" s="169">
        <f>C32+C33</f>
        <v>6188</v>
      </c>
      <c r="D31" s="169">
        <f>D32+D33</f>
        <v>24512.038</v>
      </c>
      <c r="E31" s="21">
        <f>D31-C31</f>
        <v>18324.038</v>
      </c>
      <c r="F31" s="21"/>
      <c r="G31" s="43"/>
      <c r="H31" s="332"/>
      <c r="I31" s="332"/>
      <c r="J31" s="332"/>
      <c r="K31" s="332"/>
      <c r="L31" s="332"/>
      <c r="M31" s="332"/>
      <c r="N31" s="332"/>
      <c r="O31" s="332"/>
      <c r="P31" s="332"/>
      <c r="Q31" s="332"/>
      <c r="R31" s="332"/>
      <c r="S31" s="332"/>
      <c r="T31" s="332"/>
    </row>
    <row r="32" spans="1:20" s="22" customFormat="1" ht="24" customHeight="1">
      <c r="A32" s="138" t="s">
        <v>28</v>
      </c>
      <c r="B32" s="20" t="s">
        <v>167</v>
      </c>
      <c r="C32" s="169">
        <v>5058</v>
      </c>
      <c r="D32" s="217">
        <v>4727.3603000000003</v>
      </c>
      <c r="E32" s="21"/>
      <c r="F32" s="21"/>
      <c r="G32" s="43"/>
      <c r="H32" s="337"/>
      <c r="I32" s="332"/>
      <c r="J32" s="332"/>
      <c r="K32" s="332"/>
      <c r="L32" s="332"/>
      <c r="M32" s="332"/>
      <c r="N32" s="332"/>
      <c r="O32" s="332"/>
      <c r="P32" s="332"/>
      <c r="Q32" s="332"/>
      <c r="R32" s="332"/>
      <c r="S32" s="332"/>
      <c r="T32" s="332"/>
    </row>
    <row r="33" spans="1:20" s="22" customFormat="1" ht="24" customHeight="1">
      <c r="A33" s="138" t="s">
        <v>28</v>
      </c>
      <c r="B33" s="20" t="s">
        <v>175</v>
      </c>
      <c r="C33" s="169">
        <f>1010+120</f>
        <v>1130</v>
      </c>
      <c r="D33" s="217">
        <v>19784.6777</v>
      </c>
      <c r="E33" s="21"/>
      <c r="F33" s="21"/>
      <c r="G33" s="43"/>
      <c r="H33" s="332"/>
      <c r="I33" s="332"/>
      <c r="J33" s="332"/>
      <c r="K33" s="332"/>
      <c r="L33" s="332"/>
      <c r="M33" s="332"/>
      <c r="N33" s="332"/>
      <c r="O33" s="332"/>
      <c r="P33" s="332"/>
      <c r="Q33" s="332"/>
      <c r="R33" s="332"/>
      <c r="S33" s="332"/>
      <c r="T33" s="332"/>
    </row>
    <row r="34" spans="1:20" ht="24" customHeight="1">
      <c r="A34" s="14" t="s">
        <v>35</v>
      </c>
      <c r="B34" s="15" t="s">
        <v>54</v>
      </c>
      <c r="C34" s="168"/>
      <c r="D34" s="167">
        <v>134562.70705299999</v>
      </c>
      <c r="E34" s="12"/>
      <c r="F34" s="12"/>
    </row>
    <row r="35" spans="1:20" ht="24" customHeight="1">
      <c r="A35" s="14" t="s">
        <v>37</v>
      </c>
      <c r="B35" s="15" t="s">
        <v>55</v>
      </c>
      <c r="C35" s="168"/>
      <c r="D35" s="167">
        <v>999.88757699999996</v>
      </c>
      <c r="E35" s="12"/>
      <c r="F35" s="12"/>
    </row>
    <row r="36" spans="1:20" s="23" customFormat="1" ht="34.5" customHeight="1">
      <c r="A36" s="14" t="s">
        <v>56</v>
      </c>
      <c r="B36" s="15" t="s">
        <v>57</v>
      </c>
      <c r="C36" s="167"/>
      <c r="D36" s="215">
        <f>D8-D19</f>
        <v>1244.0735290000448</v>
      </c>
      <c r="E36" s="166"/>
      <c r="F36" s="166"/>
      <c r="G36" s="176"/>
      <c r="H36" s="338"/>
      <c r="I36" s="338"/>
      <c r="J36" s="338"/>
      <c r="K36" s="338"/>
      <c r="L36" s="338"/>
      <c r="M36" s="338"/>
      <c r="N36" s="338"/>
      <c r="O36" s="338"/>
      <c r="P36" s="338"/>
      <c r="Q36" s="338"/>
      <c r="R36" s="338"/>
      <c r="S36" s="338"/>
      <c r="T36" s="338"/>
    </row>
    <row r="37" spans="1:20" ht="21" customHeight="1">
      <c r="A37" s="14" t="s">
        <v>58</v>
      </c>
      <c r="B37" s="15" t="s">
        <v>59</v>
      </c>
      <c r="C37" s="168"/>
      <c r="D37" s="168"/>
      <c r="E37" s="12"/>
      <c r="F37" s="12"/>
    </row>
    <row r="38" spans="1:20" ht="15.75">
      <c r="A38" s="14" t="s">
        <v>3</v>
      </c>
      <c r="B38" s="15" t="s">
        <v>60</v>
      </c>
      <c r="C38" s="168"/>
      <c r="D38" s="168"/>
      <c r="E38" s="12"/>
      <c r="F38" s="12"/>
    </row>
    <row r="39" spans="1:20" ht="43.5" customHeight="1">
      <c r="A39" s="14" t="s">
        <v>31</v>
      </c>
      <c r="B39" s="15" t="s">
        <v>61</v>
      </c>
      <c r="C39" s="168"/>
      <c r="D39" s="168"/>
      <c r="E39" s="12"/>
      <c r="F39" s="12"/>
    </row>
    <row r="40" spans="1:20" ht="22.5" customHeight="1">
      <c r="A40" s="14" t="s">
        <v>62</v>
      </c>
      <c r="B40" s="15" t="s">
        <v>63</v>
      </c>
      <c r="C40" s="168"/>
      <c r="D40" s="168"/>
      <c r="E40" s="12"/>
      <c r="F40" s="12"/>
    </row>
    <row r="41" spans="1:20" ht="18.75" customHeight="1">
      <c r="A41" s="14" t="s">
        <v>3</v>
      </c>
      <c r="B41" s="15" t="s">
        <v>64</v>
      </c>
      <c r="C41" s="12"/>
      <c r="D41" s="12"/>
      <c r="E41" s="12"/>
      <c r="F41" s="12"/>
    </row>
    <row r="42" spans="1:20" ht="20.25" customHeight="1">
      <c r="A42" s="14" t="s">
        <v>31</v>
      </c>
      <c r="B42" s="15" t="s">
        <v>65</v>
      </c>
      <c r="C42" s="12"/>
      <c r="D42" s="12"/>
      <c r="E42" s="12"/>
      <c r="F42" s="12"/>
    </row>
    <row r="43" spans="1:20" ht="36.75" customHeight="1">
      <c r="A43" s="14" t="s">
        <v>66</v>
      </c>
      <c r="B43" s="15" t="s">
        <v>67</v>
      </c>
      <c r="C43" s="12"/>
      <c r="D43" s="12"/>
      <c r="E43" s="12"/>
      <c r="F43" s="12"/>
    </row>
    <row r="44" spans="1:20" ht="60" customHeight="1">
      <c r="A44" s="355" t="s">
        <v>68</v>
      </c>
      <c r="B44" s="355"/>
      <c r="C44" s="355"/>
      <c r="D44" s="355"/>
      <c r="E44" s="355"/>
      <c r="F44" s="355"/>
    </row>
  </sheetData>
  <mergeCells count="9">
    <mergeCell ref="A1:B1"/>
    <mergeCell ref="A44:F44"/>
    <mergeCell ref="A2:F2"/>
    <mergeCell ref="A3:F3"/>
    <mergeCell ref="A5:A6"/>
    <mergeCell ref="B5:B6"/>
    <mergeCell ref="C5:C6"/>
    <mergeCell ref="D5:D6"/>
    <mergeCell ref="E5:F5"/>
  </mergeCells>
  <pageMargins left="0.7" right="0.7" top="0.59"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7"/>
  <sheetViews>
    <sheetView topLeftCell="A82" workbookViewId="0">
      <selection activeCell="H9" sqref="H9"/>
    </sheetView>
  </sheetViews>
  <sheetFormatPr defaultColWidth="8.85546875" defaultRowHeight="15"/>
  <cols>
    <col min="1" max="1" width="4.7109375" style="3" customWidth="1"/>
    <col min="2" max="2" width="42.28515625" style="3" customWidth="1"/>
    <col min="3" max="3" width="12.42578125" style="4" customWidth="1"/>
    <col min="4" max="4" width="13" style="4" customWidth="1"/>
    <col min="5" max="5" width="14.5703125" style="7" customWidth="1"/>
    <col min="6" max="6" width="12.42578125" style="7" customWidth="1"/>
    <col min="7" max="7" width="11.140625" style="7" customWidth="1"/>
    <col min="8" max="8" width="10.5703125" style="7" customWidth="1"/>
    <col min="9" max="9" width="8.85546875" style="3" customWidth="1"/>
    <col min="10" max="10" width="8.85546875" style="3"/>
    <col min="11" max="11" width="16.140625" style="3" bestFit="1" customWidth="1"/>
    <col min="12" max="255" width="8.85546875" style="3"/>
    <col min="256" max="256" width="4.7109375" style="3" customWidth="1"/>
    <col min="257" max="257" width="42.28515625" style="3" customWidth="1"/>
    <col min="258" max="258" width="12.42578125" style="3" customWidth="1"/>
    <col min="259" max="259" width="13" style="3" customWidth="1"/>
    <col min="260" max="260" width="14.5703125" style="3" customWidth="1"/>
    <col min="261" max="261" width="12.42578125" style="3" customWidth="1"/>
    <col min="262" max="262" width="11.140625" style="3" customWidth="1"/>
    <col min="263" max="263" width="10.5703125" style="3" customWidth="1"/>
    <col min="264" max="264" width="8.85546875" style="3" customWidth="1"/>
    <col min="265" max="265" width="19" style="3" customWidth="1"/>
    <col min="266" max="511" width="8.85546875" style="3"/>
    <col min="512" max="512" width="4.7109375" style="3" customWidth="1"/>
    <col min="513" max="513" width="42.28515625" style="3" customWidth="1"/>
    <col min="514" max="514" width="12.42578125" style="3" customWidth="1"/>
    <col min="515" max="515" width="13" style="3" customWidth="1"/>
    <col min="516" max="516" width="14.5703125" style="3" customWidth="1"/>
    <col min="517" max="517" width="12.42578125" style="3" customWidth="1"/>
    <col min="518" max="518" width="11.140625" style="3" customWidth="1"/>
    <col min="519" max="519" width="10.5703125" style="3" customWidth="1"/>
    <col min="520" max="520" width="8.85546875" style="3" customWidth="1"/>
    <col min="521" max="521" width="19" style="3" customWidth="1"/>
    <col min="522" max="767" width="8.85546875" style="3"/>
    <col min="768" max="768" width="4.7109375" style="3" customWidth="1"/>
    <col min="769" max="769" width="42.28515625" style="3" customWidth="1"/>
    <col min="770" max="770" width="12.42578125" style="3" customWidth="1"/>
    <col min="771" max="771" width="13" style="3" customWidth="1"/>
    <col min="772" max="772" width="14.5703125" style="3" customWidth="1"/>
    <col min="773" max="773" width="12.42578125" style="3" customWidth="1"/>
    <col min="774" max="774" width="11.140625" style="3" customWidth="1"/>
    <col min="775" max="775" width="10.5703125" style="3" customWidth="1"/>
    <col min="776" max="776" width="8.85546875" style="3" customWidth="1"/>
    <col min="777" max="777" width="19" style="3" customWidth="1"/>
    <col min="778" max="1023" width="8.85546875" style="3"/>
    <col min="1024" max="1024" width="4.7109375" style="3" customWidth="1"/>
    <col min="1025" max="1025" width="42.28515625" style="3" customWidth="1"/>
    <col min="1026" max="1026" width="12.42578125" style="3" customWidth="1"/>
    <col min="1027" max="1027" width="13" style="3" customWidth="1"/>
    <col min="1028" max="1028" width="14.5703125" style="3" customWidth="1"/>
    <col min="1029" max="1029" width="12.42578125" style="3" customWidth="1"/>
    <col min="1030" max="1030" width="11.140625" style="3" customWidth="1"/>
    <col min="1031" max="1031" width="10.5703125" style="3" customWidth="1"/>
    <col min="1032" max="1032" width="8.85546875" style="3" customWidth="1"/>
    <col min="1033" max="1033" width="19" style="3" customWidth="1"/>
    <col min="1034" max="1279" width="8.85546875" style="3"/>
    <col min="1280" max="1280" width="4.7109375" style="3" customWidth="1"/>
    <col min="1281" max="1281" width="42.28515625" style="3" customWidth="1"/>
    <col min="1282" max="1282" width="12.42578125" style="3" customWidth="1"/>
    <col min="1283" max="1283" width="13" style="3" customWidth="1"/>
    <col min="1284" max="1284" width="14.5703125" style="3" customWidth="1"/>
    <col min="1285" max="1285" width="12.42578125" style="3" customWidth="1"/>
    <col min="1286" max="1286" width="11.140625" style="3" customWidth="1"/>
    <col min="1287" max="1287" width="10.5703125" style="3" customWidth="1"/>
    <col min="1288" max="1288" width="8.85546875" style="3" customWidth="1"/>
    <col min="1289" max="1289" width="19" style="3" customWidth="1"/>
    <col min="1290" max="1535" width="8.85546875" style="3"/>
    <col min="1536" max="1536" width="4.7109375" style="3" customWidth="1"/>
    <col min="1537" max="1537" width="42.28515625" style="3" customWidth="1"/>
    <col min="1538" max="1538" width="12.42578125" style="3" customWidth="1"/>
    <col min="1539" max="1539" width="13" style="3" customWidth="1"/>
    <col min="1540" max="1540" width="14.5703125" style="3" customWidth="1"/>
    <col min="1541" max="1541" width="12.42578125" style="3" customWidth="1"/>
    <col min="1542" max="1542" width="11.140625" style="3" customWidth="1"/>
    <col min="1543" max="1543" width="10.5703125" style="3" customWidth="1"/>
    <col min="1544" max="1544" width="8.85546875" style="3" customWidth="1"/>
    <col min="1545" max="1545" width="19" style="3" customWidth="1"/>
    <col min="1546" max="1791" width="8.85546875" style="3"/>
    <col min="1792" max="1792" width="4.7109375" style="3" customWidth="1"/>
    <col min="1793" max="1793" width="42.28515625" style="3" customWidth="1"/>
    <col min="1794" max="1794" width="12.42578125" style="3" customWidth="1"/>
    <col min="1795" max="1795" width="13" style="3" customWidth="1"/>
    <col min="1796" max="1796" width="14.5703125" style="3" customWidth="1"/>
    <col min="1797" max="1797" width="12.42578125" style="3" customWidth="1"/>
    <col min="1798" max="1798" width="11.140625" style="3" customWidth="1"/>
    <col min="1799" max="1799" width="10.5703125" style="3" customWidth="1"/>
    <col min="1800" max="1800" width="8.85546875" style="3" customWidth="1"/>
    <col min="1801" max="1801" width="19" style="3" customWidth="1"/>
    <col min="1802" max="2047" width="8.85546875" style="3"/>
    <col min="2048" max="2048" width="4.7109375" style="3" customWidth="1"/>
    <col min="2049" max="2049" width="42.28515625" style="3" customWidth="1"/>
    <col min="2050" max="2050" width="12.42578125" style="3" customWidth="1"/>
    <col min="2051" max="2051" width="13" style="3" customWidth="1"/>
    <col min="2052" max="2052" width="14.5703125" style="3" customWidth="1"/>
    <col min="2053" max="2053" width="12.42578125" style="3" customWidth="1"/>
    <col min="2054" max="2054" width="11.140625" style="3" customWidth="1"/>
    <col min="2055" max="2055" width="10.5703125" style="3" customWidth="1"/>
    <col min="2056" max="2056" width="8.85546875" style="3" customWidth="1"/>
    <col min="2057" max="2057" width="19" style="3" customWidth="1"/>
    <col min="2058" max="2303" width="8.85546875" style="3"/>
    <col min="2304" max="2304" width="4.7109375" style="3" customWidth="1"/>
    <col min="2305" max="2305" width="42.28515625" style="3" customWidth="1"/>
    <col min="2306" max="2306" width="12.42578125" style="3" customWidth="1"/>
    <col min="2307" max="2307" width="13" style="3" customWidth="1"/>
    <col min="2308" max="2308" width="14.5703125" style="3" customWidth="1"/>
    <col min="2309" max="2309" width="12.42578125" style="3" customWidth="1"/>
    <col min="2310" max="2310" width="11.140625" style="3" customWidth="1"/>
    <col min="2311" max="2311" width="10.5703125" style="3" customWidth="1"/>
    <col min="2312" max="2312" width="8.85546875" style="3" customWidth="1"/>
    <col min="2313" max="2313" width="19" style="3" customWidth="1"/>
    <col min="2314" max="2559" width="8.85546875" style="3"/>
    <col min="2560" max="2560" width="4.7109375" style="3" customWidth="1"/>
    <col min="2561" max="2561" width="42.28515625" style="3" customWidth="1"/>
    <col min="2562" max="2562" width="12.42578125" style="3" customWidth="1"/>
    <col min="2563" max="2563" width="13" style="3" customWidth="1"/>
    <col min="2564" max="2564" width="14.5703125" style="3" customWidth="1"/>
    <col min="2565" max="2565" width="12.42578125" style="3" customWidth="1"/>
    <col min="2566" max="2566" width="11.140625" style="3" customWidth="1"/>
    <col min="2567" max="2567" width="10.5703125" style="3" customWidth="1"/>
    <col min="2568" max="2568" width="8.85546875" style="3" customWidth="1"/>
    <col min="2569" max="2569" width="19" style="3" customWidth="1"/>
    <col min="2570" max="2815" width="8.85546875" style="3"/>
    <col min="2816" max="2816" width="4.7109375" style="3" customWidth="1"/>
    <col min="2817" max="2817" width="42.28515625" style="3" customWidth="1"/>
    <col min="2818" max="2818" width="12.42578125" style="3" customWidth="1"/>
    <col min="2819" max="2819" width="13" style="3" customWidth="1"/>
    <col min="2820" max="2820" width="14.5703125" style="3" customWidth="1"/>
    <col min="2821" max="2821" width="12.42578125" style="3" customWidth="1"/>
    <col min="2822" max="2822" width="11.140625" style="3" customWidth="1"/>
    <col min="2823" max="2823" width="10.5703125" style="3" customWidth="1"/>
    <col min="2824" max="2824" width="8.85546875" style="3" customWidth="1"/>
    <col min="2825" max="2825" width="19" style="3" customWidth="1"/>
    <col min="2826" max="3071" width="8.85546875" style="3"/>
    <col min="3072" max="3072" width="4.7109375" style="3" customWidth="1"/>
    <col min="3073" max="3073" width="42.28515625" style="3" customWidth="1"/>
    <col min="3074" max="3074" width="12.42578125" style="3" customWidth="1"/>
    <col min="3075" max="3075" width="13" style="3" customWidth="1"/>
    <col min="3076" max="3076" width="14.5703125" style="3" customWidth="1"/>
    <col min="3077" max="3077" width="12.42578125" style="3" customWidth="1"/>
    <col min="3078" max="3078" width="11.140625" style="3" customWidth="1"/>
    <col min="3079" max="3079" width="10.5703125" style="3" customWidth="1"/>
    <col min="3080" max="3080" width="8.85546875" style="3" customWidth="1"/>
    <col min="3081" max="3081" width="19" style="3" customWidth="1"/>
    <col min="3082" max="3327" width="8.85546875" style="3"/>
    <col min="3328" max="3328" width="4.7109375" style="3" customWidth="1"/>
    <col min="3329" max="3329" width="42.28515625" style="3" customWidth="1"/>
    <col min="3330" max="3330" width="12.42578125" style="3" customWidth="1"/>
    <col min="3331" max="3331" width="13" style="3" customWidth="1"/>
    <col min="3332" max="3332" width="14.5703125" style="3" customWidth="1"/>
    <col min="3333" max="3333" width="12.42578125" style="3" customWidth="1"/>
    <col min="3334" max="3334" width="11.140625" style="3" customWidth="1"/>
    <col min="3335" max="3335" width="10.5703125" style="3" customWidth="1"/>
    <col min="3336" max="3336" width="8.85546875" style="3" customWidth="1"/>
    <col min="3337" max="3337" width="19" style="3" customWidth="1"/>
    <col min="3338" max="3583" width="8.85546875" style="3"/>
    <col min="3584" max="3584" width="4.7109375" style="3" customWidth="1"/>
    <col min="3585" max="3585" width="42.28515625" style="3" customWidth="1"/>
    <col min="3586" max="3586" width="12.42578125" style="3" customWidth="1"/>
    <col min="3587" max="3587" width="13" style="3" customWidth="1"/>
    <col min="3588" max="3588" width="14.5703125" style="3" customWidth="1"/>
    <col min="3589" max="3589" width="12.42578125" style="3" customWidth="1"/>
    <col min="3590" max="3590" width="11.140625" style="3" customWidth="1"/>
    <col min="3591" max="3591" width="10.5703125" style="3" customWidth="1"/>
    <col min="3592" max="3592" width="8.85546875" style="3" customWidth="1"/>
    <col min="3593" max="3593" width="19" style="3" customWidth="1"/>
    <col min="3594" max="3839" width="8.85546875" style="3"/>
    <col min="3840" max="3840" width="4.7109375" style="3" customWidth="1"/>
    <col min="3841" max="3841" width="42.28515625" style="3" customWidth="1"/>
    <col min="3842" max="3842" width="12.42578125" style="3" customWidth="1"/>
    <col min="3843" max="3843" width="13" style="3" customWidth="1"/>
    <col min="3844" max="3844" width="14.5703125" style="3" customWidth="1"/>
    <col min="3845" max="3845" width="12.42578125" style="3" customWidth="1"/>
    <col min="3846" max="3846" width="11.140625" style="3" customWidth="1"/>
    <col min="3847" max="3847" width="10.5703125" style="3" customWidth="1"/>
    <col min="3848" max="3848" width="8.85546875" style="3" customWidth="1"/>
    <col min="3849" max="3849" width="19" style="3" customWidth="1"/>
    <col min="3850" max="4095" width="8.85546875" style="3"/>
    <col min="4096" max="4096" width="4.7109375" style="3" customWidth="1"/>
    <col min="4097" max="4097" width="42.28515625" style="3" customWidth="1"/>
    <col min="4098" max="4098" width="12.42578125" style="3" customWidth="1"/>
    <col min="4099" max="4099" width="13" style="3" customWidth="1"/>
    <col min="4100" max="4100" width="14.5703125" style="3" customWidth="1"/>
    <col min="4101" max="4101" width="12.42578125" style="3" customWidth="1"/>
    <col min="4102" max="4102" width="11.140625" style="3" customWidth="1"/>
    <col min="4103" max="4103" width="10.5703125" style="3" customWidth="1"/>
    <col min="4104" max="4104" width="8.85546875" style="3" customWidth="1"/>
    <col min="4105" max="4105" width="19" style="3" customWidth="1"/>
    <col min="4106" max="4351" width="8.85546875" style="3"/>
    <col min="4352" max="4352" width="4.7109375" style="3" customWidth="1"/>
    <col min="4353" max="4353" width="42.28515625" style="3" customWidth="1"/>
    <col min="4354" max="4354" width="12.42578125" style="3" customWidth="1"/>
    <col min="4355" max="4355" width="13" style="3" customWidth="1"/>
    <col min="4356" max="4356" width="14.5703125" style="3" customWidth="1"/>
    <col min="4357" max="4357" width="12.42578125" style="3" customWidth="1"/>
    <col min="4358" max="4358" width="11.140625" style="3" customWidth="1"/>
    <col min="4359" max="4359" width="10.5703125" style="3" customWidth="1"/>
    <col min="4360" max="4360" width="8.85546875" style="3" customWidth="1"/>
    <col min="4361" max="4361" width="19" style="3" customWidth="1"/>
    <col min="4362" max="4607" width="8.85546875" style="3"/>
    <col min="4608" max="4608" width="4.7109375" style="3" customWidth="1"/>
    <col min="4609" max="4609" width="42.28515625" style="3" customWidth="1"/>
    <col min="4610" max="4610" width="12.42578125" style="3" customWidth="1"/>
    <col min="4611" max="4611" width="13" style="3" customWidth="1"/>
    <col min="4612" max="4612" width="14.5703125" style="3" customWidth="1"/>
    <col min="4613" max="4613" width="12.42578125" style="3" customWidth="1"/>
    <col min="4614" max="4614" width="11.140625" style="3" customWidth="1"/>
    <col min="4615" max="4615" width="10.5703125" style="3" customWidth="1"/>
    <col min="4616" max="4616" width="8.85546875" style="3" customWidth="1"/>
    <col min="4617" max="4617" width="19" style="3" customWidth="1"/>
    <col min="4618" max="4863" width="8.85546875" style="3"/>
    <col min="4864" max="4864" width="4.7109375" style="3" customWidth="1"/>
    <col min="4865" max="4865" width="42.28515625" style="3" customWidth="1"/>
    <col min="4866" max="4866" width="12.42578125" style="3" customWidth="1"/>
    <col min="4867" max="4867" width="13" style="3" customWidth="1"/>
    <col min="4868" max="4868" width="14.5703125" style="3" customWidth="1"/>
    <col min="4869" max="4869" width="12.42578125" style="3" customWidth="1"/>
    <col min="4870" max="4870" width="11.140625" style="3" customWidth="1"/>
    <col min="4871" max="4871" width="10.5703125" style="3" customWidth="1"/>
    <col min="4872" max="4872" width="8.85546875" style="3" customWidth="1"/>
    <col min="4873" max="4873" width="19" style="3" customWidth="1"/>
    <col min="4874" max="5119" width="8.85546875" style="3"/>
    <col min="5120" max="5120" width="4.7109375" style="3" customWidth="1"/>
    <col min="5121" max="5121" width="42.28515625" style="3" customWidth="1"/>
    <col min="5122" max="5122" width="12.42578125" style="3" customWidth="1"/>
    <col min="5123" max="5123" width="13" style="3" customWidth="1"/>
    <col min="5124" max="5124" width="14.5703125" style="3" customWidth="1"/>
    <col min="5125" max="5125" width="12.42578125" style="3" customWidth="1"/>
    <col min="5126" max="5126" width="11.140625" style="3" customWidth="1"/>
    <col min="5127" max="5127" width="10.5703125" style="3" customWidth="1"/>
    <col min="5128" max="5128" width="8.85546875" style="3" customWidth="1"/>
    <col min="5129" max="5129" width="19" style="3" customWidth="1"/>
    <col min="5130" max="5375" width="8.85546875" style="3"/>
    <col min="5376" max="5376" width="4.7109375" style="3" customWidth="1"/>
    <col min="5377" max="5377" width="42.28515625" style="3" customWidth="1"/>
    <col min="5378" max="5378" width="12.42578125" style="3" customWidth="1"/>
    <col min="5379" max="5379" width="13" style="3" customWidth="1"/>
    <col min="5380" max="5380" width="14.5703125" style="3" customWidth="1"/>
    <col min="5381" max="5381" width="12.42578125" style="3" customWidth="1"/>
    <col min="5382" max="5382" width="11.140625" style="3" customWidth="1"/>
    <col min="5383" max="5383" width="10.5703125" style="3" customWidth="1"/>
    <col min="5384" max="5384" width="8.85546875" style="3" customWidth="1"/>
    <col min="5385" max="5385" width="19" style="3" customWidth="1"/>
    <col min="5386" max="5631" width="8.85546875" style="3"/>
    <col min="5632" max="5632" width="4.7109375" style="3" customWidth="1"/>
    <col min="5633" max="5633" width="42.28515625" style="3" customWidth="1"/>
    <col min="5634" max="5634" width="12.42578125" style="3" customWidth="1"/>
    <col min="5635" max="5635" width="13" style="3" customWidth="1"/>
    <col min="5636" max="5636" width="14.5703125" style="3" customWidth="1"/>
    <col min="5637" max="5637" width="12.42578125" style="3" customWidth="1"/>
    <col min="5638" max="5638" width="11.140625" style="3" customWidth="1"/>
    <col min="5639" max="5639" width="10.5703125" style="3" customWidth="1"/>
    <col min="5640" max="5640" width="8.85546875" style="3" customWidth="1"/>
    <col min="5641" max="5641" width="19" style="3" customWidth="1"/>
    <col min="5642" max="5887" width="8.85546875" style="3"/>
    <col min="5888" max="5888" width="4.7109375" style="3" customWidth="1"/>
    <col min="5889" max="5889" width="42.28515625" style="3" customWidth="1"/>
    <col min="5890" max="5890" width="12.42578125" style="3" customWidth="1"/>
    <col min="5891" max="5891" width="13" style="3" customWidth="1"/>
    <col min="5892" max="5892" width="14.5703125" style="3" customWidth="1"/>
    <col min="5893" max="5893" width="12.42578125" style="3" customWidth="1"/>
    <col min="5894" max="5894" width="11.140625" style="3" customWidth="1"/>
    <col min="5895" max="5895" width="10.5703125" style="3" customWidth="1"/>
    <col min="5896" max="5896" width="8.85546875" style="3" customWidth="1"/>
    <col min="5897" max="5897" width="19" style="3" customWidth="1"/>
    <col min="5898" max="6143" width="8.85546875" style="3"/>
    <col min="6144" max="6144" width="4.7109375" style="3" customWidth="1"/>
    <col min="6145" max="6145" width="42.28515625" style="3" customWidth="1"/>
    <col min="6146" max="6146" width="12.42578125" style="3" customWidth="1"/>
    <col min="6147" max="6147" width="13" style="3" customWidth="1"/>
    <col min="6148" max="6148" width="14.5703125" style="3" customWidth="1"/>
    <col min="6149" max="6149" width="12.42578125" style="3" customWidth="1"/>
    <col min="6150" max="6150" width="11.140625" style="3" customWidth="1"/>
    <col min="6151" max="6151" width="10.5703125" style="3" customWidth="1"/>
    <col min="6152" max="6152" width="8.85546875" style="3" customWidth="1"/>
    <col min="6153" max="6153" width="19" style="3" customWidth="1"/>
    <col min="6154" max="6399" width="8.85546875" style="3"/>
    <col min="6400" max="6400" width="4.7109375" style="3" customWidth="1"/>
    <col min="6401" max="6401" width="42.28515625" style="3" customWidth="1"/>
    <col min="6402" max="6402" width="12.42578125" style="3" customWidth="1"/>
    <col min="6403" max="6403" width="13" style="3" customWidth="1"/>
    <col min="6404" max="6404" width="14.5703125" style="3" customWidth="1"/>
    <col min="6405" max="6405" width="12.42578125" style="3" customWidth="1"/>
    <col min="6406" max="6406" width="11.140625" style="3" customWidth="1"/>
    <col min="6407" max="6407" width="10.5703125" style="3" customWidth="1"/>
    <col min="6408" max="6408" width="8.85546875" style="3" customWidth="1"/>
    <col min="6409" max="6409" width="19" style="3" customWidth="1"/>
    <col min="6410" max="6655" width="8.85546875" style="3"/>
    <col min="6656" max="6656" width="4.7109375" style="3" customWidth="1"/>
    <col min="6657" max="6657" width="42.28515625" style="3" customWidth="1"/>
    <col min="6658" max="6658" width="12.42578125" style="3" customWidth="1"/>
    <col min="6659" max="6659" width="13" style="3" customWidth="1"/>
    <col min="6660" max="6660" width="14.5703125" style="3" customWidth="1"/>
    <col min="6661" max="6661" width="12.42578125" style="3" customWidth="1"/>
    <col min="6662" max="6662" width="11.140625" style="3" customWidth="1"/>
    <col min="6663" max="6663" width="10.5703125" style="3" customWidth="1"/>
    <col min="6664" max="6664" width="8.85546875" style="3" customWidth="1"/>
    <col min="6665" max="6665" width="19" style="3" customWidth="1"/>
    <col min="6666" max="6911" width="8.85546875" style="3"/>
    <col min="6912" max="6912" width="4.7109375" style="3" customWidth="1"/>
    <col min="6913" max="6913" width="42.28515625" style="3" customWidth="1"/>
    <col min="6914" max="6914" width="12.42578125" style="3" customWidth="1"/>
    <col min="6915" max="6915" width="13" style="3" customWidth="1"/>
    <col min="6916" max="6916" width="14.5703125" style="3" customWidth="1"/>
    <col min="6917" max="6917" width="12.42578125" style="3" customWidth="1"/>
    <col min="6918" max="6918" width="11.140625" style="3" customWidth="1"/>
    <col min="6919" max="6919" width="10.5703125" style="3" customWidth="1"/>
    <col min="6920" max="6920" width="8.85546875" style="3" customWidth="1"/>
    <col min="6921" max="6921" width="19" style="3" customWidth="1"/>
    <col min="6922" max="7167" width="8.85546875" style="3"/>
    <col min="7168" max="7168" width="4.7109375" style="3" customWidth="1"/>
    <col min="7169" max="7169" width="42.28515625" style="3" customWidth="1"/>
    <col min="7170" max="7170" width="12.42578125" style="3" customWidth="1"/>
    <col min="7171" max="7171" width="13" style="3" customWidth="1"/>
    <col min="7172" max="7172" width="14.5703125" style="3" customWidth="1"/>
    <col min="7173" max="7173" width="12.42578125" style="3" customWidth="1"/>
    <col min="7174" max="7174" width="11.140625" style="3" customWidth="1"/>
    <col min="7175" max="7175" width="10.5703125" style="3" customWidth="1"/>
    <col min="7176" max="7176" width="8.85546875" style="3" customWidth="1"/>
    <col min="7177" max="7177" width="19" style="3" customWidth="1"/>
    <col min="7178" max="7423" width="8.85546875" style="3"/>
    <col min="7424" max="7424" width="4.7109375" style="3" customWidth="1"/>
    <col min="7425" max="7425" width="42.28515625" style="3" customWidth="1"/>
    <col min="7426" max="7426" width="12.42578125" style="3" customWidth="1"/>
    <col min="7427" max="7427" width="13" style="3" customWidth="1"/>
    <col min="7428" max="7428" width="14.5703125" style="3" customWidth="1"/>
    <col min="7429" max="7429" width="12.42578125" style="3" customWidth="1"/>
    <col min="7430" max="7430" width="11.140625" style="3" customWidth="1"/>
    <col min="7431" max="7431" width="10.5703125" style="3" customWidth="1"/>
    <col min="7432" max="7432" width="8.85546875" style="3" customWidth="1"/>
    <col min="7433" max="7433" width="19" style="3" customWidth="1"/>
    <col min="7434" max="7679" width="8.85546875" style="3"/>
    <col min="7680" max="7680" width="4.7109375" style="3" customWidth="1"/>
    <col min="7681" max="7681" width="42.28515625" style="3" customWidth="1"/>
    <col min="7682" max="7682" width="12.42578125" style="3" customWidth="1"/>
    <col min="7683" max="7683" width="13" style="3" customWidth="1"/>
    <col min="7684" max="7684" width="14.5703125" style="3" customWidth="1"/>
    <col min="7685" max="7685" width="12.42578125" style="3" customWidth="1"/>
    <col min="7686" max="7686" width="11.140625" style="3" customWidth="1"/>
    <col min="7687" max="7687" width="10.5703125" style="3" customWidth="1"/>
    <col min="7688" max="7688" width="8.85546875" style="3" customWidth="1"/>
    <col min="7689" max="7689" width="19" style="3" customWidth="1"/>
    <col min="7690" max="7935" width="8.85546875" style="3"/>
    <col min="7936" max="7936" width="4.7109375" style="3" customWidth="1"/>
    <col min="7937" max="7937" width="42.28515625" style="3" customWidth="1"/>
    <col min="7938" max="7938" width="12.42578125" style="3" customWidth="1"/>
    <col min="7939" max="7939" width="13" style="3" customWidth="1"/>
    <col min="7940" max="7940" width="14.5703125" style="3" customWidth="1"/>
    <col min="7941" max="7941" width="12.42578125" style="3" customWidth="1"/>
    <col min="7942" max="7942" width="11.140625" style="3" customWidth="1"/>
    <col min="7943" max="7943" width="10.5703125" style="3" customWidth="1"/>
    <col min="7944" max="7944" width="8.85546875" style="3" customWidth="1"/>
    <col min="7945" max="7945" width="19" style="3" customWidth="1"/>
    <col min="7946" max="8191" width="8.85546875" style="3"/>
    <col min="8192" max="8192" width="4.7109375" style="3" customWidth="1"/>
    <col min="8193" max="8193" width="42.28515625" style="3" customWidth="1"/>
    <col min="8194" max="8194" width="12.42578125" style="3" customWidth="1"/>
    <col min="8195" max="8195" width="13" style="3" customWidth="1"/>
    <col min="8196" max="8196" width="14.5703125" style="3" customWidth="1"/>
    <col min="8197" max="8197" width="12.42578125" style="3" customWidth="1"/>
    <col min="8198" max="8198" width="11.140625" style="3" customWidth="1"/>
    <col min="8199" max="8199" width="10.5703125" style="3" customWidth="1"/>
    <col min="8200" max="8200" width="8.85546875" style="3" customWidth="1"/>
    <col min="8201" max="8201" width="19" style="3" customWidth="1"/>
    <col min="8202" max="8447" width="8.85546875" style="3"/>
    <col min="8448" max="8448" width="4.7109375" style="3" customWidth="1"/>
    <col min="8449" max="8449" width="42.28515625" style="3" customWidth="1"/>
    <col min="8450" max="8450" width="12.42578125" style="3" customWidth="1"/>
    <col min="8451" max="8451" width="13" style="3" customWidth="1"/>
    <col min="8452" max="8452" width="14.5703125" style="3" customWidth="1"/>
    <col min="8453" max="8453" width="12.42578125" style="3" customWidth="1"/>
    <col min="8454" max="8454" width="11.140625" style="3" customWidth="1"/>
    <col min="8455" max="8455" width="10.5703125" style="3" customWidth="1"/>
    <col min="8456" max="8456" width="8.85546875" style="3" customWidth="1"/>
    <col min="8457" max="8457" width="19" style="3" customWidth="1"/>
    <col min="8458" max="8703" width="8.85546875" style="3"/>
    <col min="8704" max="8704" width="4.7109375" style="3" customWidth="1"/>
    <col min="8705" max="8705" width="42.28515625" style="3" customWidth="1"/>
    <col min="8706" max="8706" width="12.42578125" style="3" customWidth="1"/>
    <col min="8707" max="8707" width="13" style="3" customWidth="1"/>
    <col min="8708" max="8708" width="14.5703125" style="3" customWidth="1"/>
    <col min="8709" max="8709" width="12.42578125" style="3" customWidth="1"/>
    <col min="8710" max="8710" width="11.140625" style="3" customWidth="1"/>
    <col min="8711" max="8711" width="10.5703125" style="3" customWidth="1"/>
    <col min="8712" max="8712" width="8.85546875" style="3" customWidth="1"/>
    <col min="8713" max="8713" width="19" style="3" customWidth="1"/>
    <col min="8714" max="8959" width="8.85546875" style="3"/>
    <col min="8960" max="8960" width="4.7109375" style="3" customWidth="1"/>
    <col min="8961" max="8961" width="42.28515625" style="3" customWidth="1"/>
    <col min="8962" max="8962" width="12.42578125" style="3" customWidth="1"/>
    <col min="8963" max="8963" width="13" style="3" customWidth="1"/>
    <col min="8964" max="8964" width="14.5703125" style="3" customWidth="1"/>
    <col min="8965" max="8965" width="12.42578125" style="3" customWidth="1"/>
    <col min="8966" max="8966" width="11.140625" style="3" customWidth="1"/>
    <col min="8967" max="8967" width="10.5703125" style="3" customWidth="1"/>
    <col min="8968" max="8968" width="8.85546875" style="3" customWidth="1"/>
    <col min="8969" max="8969" width="19" style="3" customWidth="1"/>
    <col min="8970" max="9215" width="8.85546875" style="3"/>
    <col min="9216" max="9216" width="4.7109375" style="3" customWidth="1"/>
    <col min="9217" max="9217" width="42.28515625" style="3" customWidth="1"/>
    <col min="9218" max="9218" width="12.42578125" style="3" customWidth="1"/>
    <col min="9219" max="9219" width="13" style="3" customWidth="1"/>
    <col min="9220" max="9220" width="14.5703125" style="3" customWidth="1"/>
    <col min="9221" max="9221" width="12.42578125" style="3" customWidth="1"/>
    <col min="9222" max="9222" width="11.140625" style="3" customWidth="1"/>
    <col min="9223" max="9223" width="10.5703125" style="3" customWidth="1"/>
    <col min="9224" max="9224" width="8.85546875" style="3" customWidth="1"/>
    <col min="9225" max="9225" width="19" style="3" customWidth="1"/>
    <col min="9226" max="9471" width="8.85546875" style="3"/>
    <col min="9472" max="9472" width="4.7109375" style="3" customWidth="1"/>
    <col min="9473" max="9473" width="42.28515625" style="3" customWidth="1"/>
    <col min="9474" max="9474" width="12.42578125" style="3" customWidth="1"/>
    <col min="9475" max="9475" width="13" style="3" customWidth="1"/>
    <col min="9476" max="9476" width="14.5703125" style="3" customWidth="1"/>
    <col min="9477" max="9477" width="12.42578125" style="3" customWidth="1"/>
    <col min="9478" max="9478" width="11.140625" style="3" customWidth="1"/>
    <col min="9479" max="9479" width="10.5703125" style="3" customWidth="1"/>
    <col min="9480" max="9480" width="8.85546875" style="3" customWidth="1"/>
    <col min="9481" max="9481" width="19" style="3" customWidth="1"/>
    <col min="9482" max="9727" width="8.85546875" style="3"/>
    <col min="9728" max="9728" width="4.7109375" style="3" customWidth="1"/>
    <col min="9729" max="9729" width="42.28515625" style="3" customWidth="1"/>
    <col min="9730" max="9730" width="12.42578125" style="3" customWidth="1"/>
    <col min="9731" max="9731" width="13" style="3" customWidth="1"/>
    <col min="9732" max="9732" width="14.5703125" style="3" customWidth="1"/>
    <col min="9733" max="9733" width="12.42578125" style="3" customWidth="1"/>
    <col min="9734" max="9734" width="11.140625" style="3" customWidth="1"/>
    <col min="9735" max="9735" width="10.5703125" style="3" customWidth="1"/>
    <col min="9736" max="9736" width="8.85546875" style="3" customWidth="1"/>
    <col min="9737" max="9737" width="19" style="3" customWidth="1"/>
    <col min="9738" max="9983" width="8.85546875" style="3"/>
    <col min="9984" max="9984" width="4.7109375" style="3" customWidth="1"/>
    <col min="9985" max="9985" width="42.28515625" style="3" customWidth="1"/>
    <col min="9986" max="9986" width="12.42578125" style="3" customWidth="1"/>
    <col min="9987" max="9987" width="13" style="3" customWidth="1"/>
    <col min="9988" max="9988" width="14.5703125" style="3" customWidth="1"/>
    <col min="9989" max="9989" width="12.42578125" style="3" customWidth="1"/>
    <col min="9990" max="9990" width="11.140625" style="3" customWidth="1"/>
    <col min="9991" max="9991" width="10.5703125" style="3" customWidth="1"/>
    <col min="9992" max="9992" width="8.85546875" style="3" customWidth="1"/>
    <col min="9993" max="9993" width="19" style="3" customWidth="1"/>
    <col min="9994" max="10239" width="8.85546875" style="3"/>
    <col min="10240" max="10240" width="4.7109375" style="3" customWidth="1"/>
    <col min="10241" max="10241" width="42.28515625" style="3" customWidth="1"/>
    <col min="10242" max="10242" width="12.42578125" style="3" customWidth="1"/>
    <col min="10243" max="10243" width="13" style="3" customWidth="1"/>
    <col min="10244" max="10244" width="14.5703125" style="3" customWidth="1"/>
    <col min="10245" max="10245" width="12.42578125" style="3" customWidth="1"/>
    <col min="10246" max="10246" width="11.140625" style="3" customWidth="1"/>
    <col min="10247" max="10247" width="10.5703125" style="3" customWidth="1"/>
    <col min="10248" max="10248" width="8.85546875" style="3" customWidth="1"/>
    <col min="10249" max="10249" width="19" style="3" customWidth="1"/>
    <col min="10250" max="10495" width="8.85546875" style="3"/>
    <col min="10496" max="10496" width="4.7109375" style="3" customWidth="1"/>
    <col min="10497" max="10497" width="42.28515625" style="3" customWidth="1"/>
    <col min="10498" max="10498" width="12.42578125" style="3" customWidth="1"/>
    <col min="10499" max="10499" width="13" style="3" customWidth="1"/>
    <col min="10500" max="10500" width="14.5703125" style="3" customWidth="1"/>
    <col min="10501" max="10501" width="12.42578125" style="3" customWidth="1"/>
    <col min="10502" max="10502" width="11.140625" style="3" customWidth="1"/>
    <col min="10503" max="10503" width="10.5703125" style="3" customWidth="1"/>
    <col min="10504" max="10504" width="8.85546875" style="3" customWidth="1"/>
    <col min="10505" max="10505" width="19" style="3" customWidth="1"/>
    <col min="10506" max="10751" width="8.85546875" style="3"/>
    <col min="10752" max="10752" width="4.7109375" style="3" customWidth="1"/>
    <col min="10753" max="10753" width="42.28515625" style="3" customWidth="1"/>
    <col min="10754" max="10754" width="12.42578125" style="3" customWidth="1"/>
    <col min="10755" max="10755" width="13" style="3" customWidth="1"/>
    <col min="10756" max="10756" width="14.5703125" style="3" customWidth="1"/>
    <col min="10757" max="10757" width="12.42578125" style="3" customWidth="1"/>
    <col min="10758" max="10758" width="11.140625" style="3" customWidth="1"/>
    <col min="10759" max="10759" width="10.5703125" style="3" customWidth="1"/>
    <col min="10760" max="10760" width="8.85546875" style="3" customWidth="1"/>
    <col min="10761" max="10761" width="19" style="3" customWidth="1"/>
    <col min="10762" max="11007" width="8.85546875" style="3"/>
    <col min="11008" max="11008" width="4.7109375" style="3" customWidth="1"/>
    <col min="11009" max="11009" width="42.28515625" style="3" customWidth="1"/>
    <col min="11010" max="11010" width="12.42578125" style="3" customWidth="1"/>
    <col min="11011" max="11011" width="13" style="3" customWidth="1"/>
    <col min="11012" max="11012" width="14.5703125" style="3" customWidth="1"/>
    <col min="11013" max="11013" width="12.42578125" style="3" customWidth="1"/>
    <col min="11014" max="11014" width="11.140625" style="3" customWidth="1"/>
    <col min="11015" max="11015" width="10.5703125" style="3" customWidth="1"/>
    <col min="11016" max="11016" width="8.85546875" style="3" customWidth="1"/>
    <col min="11017" max="11017" width="19" style="3" customWidth="1"/>
    <col min="11018" max="11263" width="8.85546875" style="3"/>
    <col min="11264" max="11264" width="4.7109375" style="3" customWidth="1"/>
    <col min="11265" max="11265" width="42.28515625" style="3" customWidth="1"/>
    <col min="11266" max="11266" width="12.42578125" style="3" customWidth="1"/>
    <col min="11267" max="11267" width="13" style="3" customWidth="1"/>
    <col min="11268" max="11268" width="14.5703125" style="3" customWidth="1"/>
    <col min="11269" max="11269" width="12.42578125" style="3" customWidth="1"/>
    <col min="11270" max="11270" width="11.140625" style="3" customWidth="1"/>
    <col min="11271" max="11271" width="10.5703125" style="3" customWidth="1"/>
    <col min="11272" max="11272" width="8.85546875" style="3" customWidth="1"/>
    <col min="11273" max="11273" width="19" style="3" customWidth="1"/>
    <col min="11274" max="11519" width="8.85546875" style="3"/>
    <col min="11520" max="11520" width="4.7109375" style="3" customWidth="1"/>
    <col min="11521" max="11521" width="42.28515625" style="3" customWidth="1"/>
    <col min="11522" max="11522" width="12.42578125" style="3" customWidth="1"/>
    <col min="11523" max="11523" width="13" style="3" customWidth="1"/>
    <col min="11524" max="11524" width="14.5703125" style="3" customWidth="1"/>
    <col min="11525" max="11525" width="12.42578125" style="3" customWidth="1"/>
    <col min="11526" max="11526" width="11.140625" style="3" customWidth="1"/>
    <col min="11527" max="11527" width="10.5703125" style="3" customWidth="1"/>
    <col min="11528" max="11528" width="8.85546875" style="3" customWidth="1"/>
    <col min="11529" max="11529" width="19" style="3" customWidth="1"/>
    <col min="11530" max="11775" width="8.85546875" style="3"/>
    <col min="11776" max="11776" width="4.7109375" style="3" customWidth="1"/>
    <col min="11777" max="11777" width="42.28515625" style="3" customWidth="1"/>
    <col min="11778" max="11778" width="12.42578125" style="3" customWidth="1"/>
    <col min="11779" max="11779" width="13" style="3" customWidth="1"/>
    <col min="11780" max="11780" width="14.5703125" style="3" customWidth="1"/>
    <col min="11781" max="11781" width="12.42578125" style="3" customWidth="1"/>
    <col min="11782" max="11782" width="11.140625" style="3" customWidth="1"/>
    <col min="11783" max="11783" width="10.5703125" style="3" customWidth="1"/>
    <col min="11784" max="11784" width="8.85546875" style="3" customWidth="1"/>
    <col min="11785" max="11785" width="19" style="3" customWidth="1"/>
    <col min="11786" max="12031" width="8.85546875" style="3"/>
    <col min="12032" max="12032" width="4.7109375" style="3" customWidth="1"/>
    <col min="12033" max="12033" width="42.28515625" style="3" customWidth="1"/>
    <col min="12034" max="12034" width="12.42578125" style="3" customWidth="1"/>
    <col min="12035" max="12035" width="13" style="3" customWidth="1"/>
    <col min="12036" max="12036" width="14.5703125" style="3" customWidth="1"/>
    <col min="12037" max="12037" width="12.42578125" style="3" customWidth="1"/>
    <col min="12038" max="12038" width="11.140625" style="3" customWidth="1"/>
    <col min="12039" max="12039" width="10.5703125" style="3" customWidth="1"/>
    <col min="12040" max="12040" width="8.85546875" style="3" customWidth="1"/>
    <col min="12041" max="12041" width="19" style="3" customWidth="1"/>
    <col min="12042" max="12287" width="8.85546875" style="3"/>
    <col min="12288" max="12288" width="4.7109375" style="3" customWidth="1"/>
    <col min="12289" max="12289" width="42.28515625" style="3" customWidth="1"/>
    <col min="12290" max="12290" width="12.42578125" style="3" customWidth="1"/>
    <col min="12291" max="12291" width="13" style="3" customWidth="1"/>
    <col min="12292" max="12292" width="14.5703125" style="3" customWidth="1"/>
    <col min="12293" max="12293" width="12.42578125" style="3" customWidth="1"/>
    <col min="12294" max="12294" width="11.140625" style="3" customWidth="1"/>
    <col min="12295" max="12295" width="10.5703125" style="3" customWidth="1"/>
    <col min="12296" max="12296" width="8.85546875" style="3" customWidth="1"/>
    <col min="12297" max="12297" width="19" style="3" customWidth="1"/>
    <col min="12298" max="12543" width="8.85546875" style="3"/>
    <col min="12544" max="12544" width="4.7109375" style="3" customWidth="1"/>
    <col min="12545" max="12545" width="42.28515625" style="3" customWidth="1"/>
    <col min="12546" max="12546" width="12.42578125" style="3" customWidth="1"/>
    <col min="12547" max="12547" width="13" style="3" customWidth="1"/>
    <col min="12548" max="12548" width="14.5703125" style="3" customWidth="1"/>
    <col min="12549" max="12549" width="12.42578125" style="3" customWidth="1"/>
    <col min="12550" max="12550" width="11.140625" style="3" customWidth="1"/>
    <col min="12551" max="12551" width="10.5703125" style="3" customWidth="1"/>
    <col min="12552" max="12552" width="8.85546875" style="3" customWidth="1"/>
    <col min="12553" max="12553" width="19" style="3" customWidth="1"/>
    <col min="12554" max="12799" width="8.85546875" style="3"/>
    <col min="12800" max="12800" width="4.7109375" style="3" customWidth="1"/>
    <col min="12801" max="12801" width="42.28515625" style="3" customWidth="1"/>
    <col min="12802" max="12802" width="12.42578125" style="3" customWidth="1"/>
    <col min="12803" max="12803" width="13" style="3" customWidth="1"/>
    <col min="12804" max="12804" width="14.5703125" style="3" customWidth="1"/>
    <col min="12805" max="12805" width="12.42578125" style="3" customWidth="1"/>
    <col min="12806" max="12806" width="11.140625" style="3" customWidth="1"/>
    <col min="12807" max="12807" width="10.5703125" style="3" customWidth="1"/>
    <col min="12808" max="12808" width="8.85546875" style="3" customWidth="1"/>
    <col min="12809" max="12809" width="19" style="3" customWidth="1"/>
    <col min="12810" max="13055" width="8.85546875" style="3"/>
    <col min="13056" max="13056" width="4.7109375" style="3" customWidth="1"/>
    <col min="13057" max="13057" width="42.28515625" style="3" customWidth="1"/>
    <col min="13058" max="13058" width="12.42578125" style="3" customWidth="1"/>
    <col min="13059" max="13059" width="13" style="3" customWidth="1"/>
    <col min="13060" max="13060" width="14.5703125" style="3" customWidth="1"/>
    <col min="13061" max="13061" width="12.42578125" style="3" customWidth="1"/>
    <col min="13062" max="13062" width="11.140625" style="3" customWidth="1"/>
    <col min="13063" max="13063" width="10.5703125" style="3" customWidth="1"/>
    <col min="13064" max="13064" width="8.85546875" style="3" customWidth="1"/>
    <col min="13065" max="13065" width="19" style="3" customWidth="1"/>
    <col min="13066" max="13311" width="8.85546875" style="3"/>
    <col min="13312" max="13312" width="4.7109375" style="3" customWidth="1"/>
    <col min="13313" max="13313" width="42.28515625" style="3" customWidth="1"/>
    <col min="13314" max="13314" width="12.42578125" style="3" customWidth="1"/>
    <col min="13315" max="13315" width="13" style="3" customWidth="1"/>
    <col min="13316" max="13316" width="14.5703125" style="3" customWidth="1"/>
    <col min="13317" max="13317" width="12.42578125" style="3" customWidth="1"/>
    <col min="13318" max="13318" width="11.140625" style="3" customWidth="1"/>
    <col min="13319" max="13319" width="10.5703125" style="3" customWidth="1"/>
    <col min="13320" max="13320" width="8.85546875" style="3" customWidth="1"/>
    <col min="13321" max="13321" width="19" style="3" customWidth="1"/>
    <col min="13322" max="13567" width="8.85546875" style="3"/>
    <col min="13568" max="13568" width="4.7109375" style="3" customWidth="1"/>
    <col min="13569" max="13569" width="42.28515625" style="3" customWidth="1"/>
    <col min="13570" max="13570" width="12.42578125" style="3" customWidth="1"/>
    <col min="13571" max="13571" width="13" style="3" customWidth="1"/>
    <col min="13572" max="13572" width="14.5703125" style="3" customWidth="1"/>
    <col min="13573" max="13573" width="12.42578125" style="3" customWidth="1"/>
    <col min="13574" max="13574" width="11.140625" style="3" customWidth="1"/>
    <col min="13575" max="13575" width="10.5703125" style="3" customWidth="1"/>
    <col min="13576" max="13576" width="8.85546875" style="3" customWidth="1"/>
    <col min="13577" max="13577" width="19" style="3" customWidth="1"/>
    <col min="13578" max="13823" width="8.85546875" style="3"/>
    <col min="13824" max="13824" width="4.7109375" style="3" customWidth="1"/>
    <col min="13825" max="13825" width="42.28515625" style="3" customWidth="1"/>
    <col min="13826" max="13826" width="12.42578125" style="3" customWidth="1"/>
    <col min="13827" max="13827" width="13" style="3" customWidth="1"/>
    <col min="13828" max="13828" width="14.5703125" style="3" customWidth="1"/>
    <col min="13829" max="13829" width="12.42578125" style="3" customWidth="1"/>
    <col min="13830" max="13830" width="11.140625" style="3" customWidth="1"/>
    <col min="13831" max="13831" width="10.5703125" style="3" customWidth="1"/>
    <col min="13832" max="13832" width="8.85546875" style="3" customWidth="1"/>
    <col min="13833" max="13833" width="19" style="3" customWidth="1"/>
    <col min="13834" max="14079" width="8.85546875" style="3"/>
    <col min="14080" max="14080" width="4.7109375" style="3" customWidth="1"/>
    <col min="14081" max="14081" width="42.28515625" style="3" customWidth="1"/>
    <col min="14082" max="14082" width="12.42578125" style="3" customWidth="1"/>
    <col min="14083" max="14083" width="13" style="3" customWidth="1"/>
    <col min="14084" max="14084" width="14.5703125" style="3" customWidth="1"/>
    <col min="14085" max="14085" width="12.42578125" style="3" customWidth="1"/>
    <col min="14086" max="14086" width="11.140625" style="3" customWidth="1"/>
    <col min="14087" max="14087" width="10.5703125" style="3" customWidth="1"/>
    <col min="14088" max="14088" width="8.85546875" style="3" customWidth="1"/>
    <col min="14089" max="14089" width="19" style="3" customWidth="1"/>
    <col min="14090" max="14335" width="8.85546875" style="3"/>
    <col min="14336" max="14336" width="4.7109375" style="3" customWidth="1"/>
    <col min="14337" max="14337" width="42.28515625" style="3" customWidth="1"/>
    <col min="14338" max="14338" width="12.42578125" style="3" customWidth="1"/>
    <col min="14339" max="14339" width="13" style="3" customWidth="1"/>
    <col min="14340" max="14340" width="14.5703125" style="3" customWidth="1"/>
    <col min="14341" max="14341" width="12.42578125" style="3" customWidth="1"/>
    <col min="14342" max="14342" width="11.140625" style="3" customWidth="1"/>
    <col min="14343" max="14343" width="10.5703125" style="3" customWidth="1"/>
    <col min="14344" max="14344" width="8.85546875" style="3" customWidth="1"/>
    <col min="14345" max="14345" width="19" style="3" customWidth="1"/>
    <col min="14346" max="14591" width="8.85546875" style="3"/>
    <col min="14592" max="14592" width="4.7109375" style="3" customWidth="1"/>
    <col min="14593" max="14593" width="42.28515625" style="3" customWidth="1"/>
    <col min="14594" max="14594" width="12.42578125" style="3" customWidth="1"/>
    <col min="14595" max="14595" width="13" style="3" customWidth="1"/>
    <col min="14596" max="14596" width="14.5703125" style="3" customWidth="1"/>
    <col min="14597" max="14597" width="12.42578125" style="3" customWidth="1"/>
    <col min="14598" max="14598" width="11.140625" style="3" customWidth="1"/>
    <col min="14599" max="14599" width="10.5703125" style="3" customWidth="1"/>
    <col min="14600" max="14600" width="8.85546875" style="3" customWidth="1"/>
    <col min="14601" max="14601" width="19" style="3" customWidth="1"/>
    <col min="14602" max="14847" width="8.85546875" style="3"/>
    <col min="14848" max="14848" width="4.7109375" style="3" customWidth="1"/>
    <col min="14849" max="14849" width="42.28515625" style="3" customWidth="1"/>
    <col min="14850" max="14850" width="12.42578125" style="3" customWidth="1"/>
    <col min="14851" max="14851" width="13" style="3" customWidth="1"/>
    <col min="14852" max="14852" width="14.5703125" style="3" customWidth="1"/>
    <col min="14853" max="14853" width="12.42578125" style="3" customWidth="1"/>
    <col min="14854" max="14854" width="11.140625" style="3" customWidth="1"/>
    <col min="14855" max="14855" width="10.5703125" style="3" customWidth="1"/>
    <col min="14856" max="14856" width="8.85546875" style="3" customWidth="1"/>
    <col min="14857" max="14857" width="19" style="3" customWidth="1"/>
    <col min="14858" max="15103" width="8.85546875" style="3"/>
    <col min="15104" max="15104" width="4.7109375" style="3" customWidth="1"/>
    <col min="15105" max="15105" width="42.28515625" style="3" customWidth="1"/>
    <col min="15106" max="15106" width="12.42578125" style="3" customWidth="1"/>
    <col min="15107" max="15107" width="13" style="3" customWidth="1"/>
    <col min="15108" max="15108" width="14.5703125" style="3" customWidth="1"/>
    <col min="15109" max="15109" width="12.42578125" style="3" customWidth="1"/>
    <col min="15110" max="15110" width="11.140625" style="3" customWidth="1"/>
    <col min="15111" max="15111" width="10.5703125" style="3" customWidth="1"/>
    <col min="15112" max="15112" width="8.85546875" style="3" customWidth="1"/>
    <col min="15113" max="15113" width="19" style="3" customWidth="1"/>
    <col min="15114" max="15359" width="8.85546875" style="3"/>
    <col min="15360" max="15360" width="4.7109375" style="3" customWidth="1"/>
    <col min="15361" max="15361" width="42.28515625" style="3" customWidth="1"/>
    <col min="15362" max="15362" width="12.42578125" style="3" customWidth="1"/>
    <col min="15363" max="15363" width="13" style="3" customWidth="1"/>
    <col min="15364" max="15364" width="14.5703125" style="3" customWidth="1"/>
    <col min="15365" max="15365" width="12.42578125" style="3" customWidth="1"/>
    <col min="15366" max="15366" width="11.140625" style="3" customWidth="1"/>
    <col min="15367" max="15367" width="10.5703125" style="3" customWidth="1"/>
    <col min="15368" max="15368" width="8.85546875" style="3" customWidth="1"/>
    <col min="15369" max="15369" width="19" style="3" customWidth="1"/>
    <col min="15370" max="15615" width="8.85546875" style="3"/>
    <col min="15616" max="15616" width="4.7109375" style="3" customWidth="1"/>
    <col min="15617" max="15617" width="42.28515625" style="3" customWidth="1"/>
    <col min="15618" max="15618" width="12.42578125" style="3" customWidth="1"/>
    <col min="15619" max="15619" width="13" style="3" customWidth="1"/>
    <col min="15620" max="15620" width="14.5703125" style="3" customWidth="1"/>
    <col min="15621" max="15621" width="12.42578125" style="3" customWidth="1"/>
    <col min="15622" max="15622" width="11.140625" style="3" customWidth="1"/>
    <col min="15623" max="15623" width="10.5703125" style="3" customWidth="1"/>
    <col min="15624" max="15624" width="8.85546875" style="3" customWidth="1"/>
    <col min="15625" max="15625" width="19" style="3" customWidth="1"/>
    <col min="15626" max="15871" width="8.85546875" style="3"/>
    <col min="15872" max="15872" width="4.7109375" style="3" customWidth="1"/>
    <col min="15873" max="15873" width="42.28515625" style="3" customWidth="1"/>
    <col min="15874" max="15874" width="12.42578125" style="3" customWidth="1"/>
    <col min="15875" max="15875" width="13" style="3" customWidth="1"/>
    <col min="15876" max="15876" width="14.5703125" style="3" customWidth="1"/>
    <col min="15877" max="15877" width="12.42578125" style="3" customWidth="1"/>
    <col min="15878" max="15878" width="11.140625" style="3" customWidth="1"/>
    <col min="15879" max="15879" width="10.5703125" style="3" customWidth="1"/>
    <col min="15880" max="15880" width="8.85546875" style="3" customWidth="1"/>
    <col min="15881" max="15881" width="19" style="3" customWidth="1"/>
    <col min="15882" max="16127" width="8.85546875" style="3"/>
    <col min="16128" max="16128" width="4.7109375" style="3" customWidth="1"/>
    <col min="16129" max="16129" width="42.28515625" style="3" customWidth="1"/>
    <col min="16130" max="16130" width="12.42578125" style="3" customWidth="1"/>
    <col min="16131" max="16131" width="13" style="3" customWidth="1"/>
    <col min="16132" max="16132" width="14.5703125" style="3" customWidth="1"/>
    <col min="16133" max="16133" width="12.42578125" style="3" customWidth="1"/>
    <col min="16134" max="16134" width="11.140625" style="3" customWidth="1"/>
    <col min="16135" max="16135" width="10.5703125" style="3" customWidth="1"/>
    <col min="16136" max="16136" width="8.85546875" style="3" customWidth="1"/>
    <col min="16137" max="16137" width="19" style="3" customWidth="1"/>
    <col min="16138" max="16384" width="8.85546875" style="3"/>
  </cols>
  <sheetData>
    <row r="1" spans="1:11" ht="20.45" customHeight="1">
      <c r="A1" s="354" t="s">
        <v>517</v>
      </c>
      <c r="B1" s="354"/>
      <c r="H1" s="24" t="s">
        <v>70</v>
      </c>
    </row>
    <row r="2" spans="1:11" ht="20.45" customHeight="1">
      <c r="A2" s="1"/>
      <c r="H2" s="24"/>
    </row>
    <row r="3" spans="1:11" ht="31.5" customHeight="1">
      <c r="A3" s="356" t="s">
        <v>397</v>
      </c>
      <c r="B3" s="356"/>
      <c r="C3" s="356"/>
      <c r="D3" s="356"/>
      <c r="E3" s="356"/>
      <c r="F3" s="356"/>
      <c r="G3" s="356"/>
      <c r="H3" s="356"/>
    </row>
    <row r="4" spans="1:11" ht="31.5" customHeight="1">
      <c r="A4" s="357" t="str">
        <f>'48'!A3:F3</f>
        <v>(Kèm theo Nghị quyết số            /NQ-HĐND ngày     tháng     năm 2023 của Hội đồng nhân dân huyện)</v>
      </c>
      <c r="B4" s="357"/>
      <c r="C4" s="357"/>
      <c r="D4" s="357"/>
      <c r="E4" s="357"/>
      <c r="F4" s="357"/>
      <c r="G4" s="357"/>
      <c r="H4" s="357"/>
    </row>
    <row r="5" spans="1:11" ht="15.75">
      <c r="H5" s="25" t="s">
        <v>15</v>
      </c>
    </row>
    <row r="6" spans="1:11" ht="15.75">
      <c r="A6" s="358" t="s">
        <v>0</v>
      </c>
      <c r="B6" s="358" t="s">
        <v>2</v>
      </c>
      <c r="C6" s="359" t="s">
        <v>17</v>
      </c>
      <c r="D6" s="359"/>
      <c r="E6" s="362" t="s">
        <v>18</v>
      </c>
      <c r="F6" s="362"/>
      <c r="G6" s="362" t="s">
        <v>69</v>
      </c>
      <c r="H6" s="362"/>
    </row>
    <row r="7" spans="1:11" ht="31.5">
      <c r="A7" s="358"/>
      <c r="B7" s="358"/>
      <c r="C7" s="9" t="s">
        <v>71</v>
      </c>
      <c r="D7" s="9" t="s">
        <v>72</v>
      </c>
      <c r="E7" s="26" t="s">
        <v>71</v>
      </c>
      <c r="F7" s="26" t="s">
        <v>72</v>
      </c>
      <c r="G7" s="26" t="s">
        <v>71</v>
      </c>
      <c r="H7" s="26" t="s">
        <v>72</v>
      </c>
    </row>
    <row r="8" spans="1:11" ht="15.75">
      <c r="A8" s="14" t="s">
        <v>22</v>
      </c>
      <c r="B8" s="14" t="s">
        <v>23</v>
      </c>
      <c r="C8" s="27">
        <v>1</v>
      </c>
      <c r="D8" s="27">
        <v>2</v>
      </c>
      <c r="E8" s="27">
        <v>3</v>
      </c>
      <c r="F8" s="27">
        <v>4</v>
      </c>
      <c r="G8" s="26" t="s">
        <v>73</v>
      </c>
      <c r="H8" s="26" t="s">
        <v>74</v>
      </c>
    </row>
    <row r="9" spans="1:11" ht="15.75">
      <c r="A9" s="14"/>
      <c r="B9" s="15" t="s">
        <v>75</v>
      </c>
      <c r="C9" s="16">
        <f>C10+C59+C60+C61</f>
        <v>42630</v>
      </c>
      <c r="D9" s="16">
        <f>D10+D59+D60+D61</f>
        <v>32177</v>
      </c>
      <c r="E9" s="16">
        <f>E10+E59+E60+E61</f>
        <v>101026.08284200002</v>
      </c>
      <c r="F9" s="16">
        <f>F10+F59+F60+F61</f>
        <v>82212.985029000003</v>
      </c>
      <c r="G9" s="16">
        <f>E9/C9*100</f>
        <v>236.98353939010093</v>
      </c>
      <c r="H9" s="16">
        <f t="shared" ref="G9:H11" si="0">F9/D9*100</f>
        <v>255.50233094757124</v>
      </c>
    </row>
    <row r="10" spans="1:11" s="23" customFormat="1" ht="15.75">
      <c r="A10" s="14" t="s">
        <v>22</v>
      </c>
      <c r="B10" s="15" t="s">
        <v>76</v>
      </c>
      <c r="C10" s="16">
        <f>C11+C50+C51+C58</f>
        <v>42630</v>
      </c>
      <c r="D10" s="16">
        <f>D11+D50+D51+D58</f>
        <v>32177</v>
      </c>
      <c r="E10" s="16">
        <f>E11+E50+E51+E58</f>
        <v>74367.153611000016</v>
      </c>
      <c r="F10" s="16">
        <f>F11+F50+F51+F58</f>
        <v>55554.055798000009</v>
      </c>
      <c r="G10" s="16">
        <f t="shared" si="0"/>
        <v>174.44793246774574</v>
      </c>
      <c r="H10" s="16">
        <f t="shared" si="0"/>
        <v>172.65144605774313</v>
      </c>
      <c r="K10" s="173"/>
    </row>
    <row r="11" spans="1:11" ht="24" customHeight="1">
      <c r="A11" s="14" t="s">
        <v>3</v>
      </c>
      <c r="B11" s="15" t="s">
        <v>77</v>
      </c>
      <c r="C11" s="16">
        <f>C12+C17+C21+C24+C30+C34+C35+C38+C39+C40+C41+C42+C43+C44+C45+C46+C47+C48+C49</f>
        <v>42630</v>
      </c>
      <c r="D11" s="16">
        <f>D12+D17+D21+D24+D30+D34+D35+D38+D39+D40+D41+D42+D43+D44+D45+D46+D47+D48+D49</f>
        <v>32177</v>
      </c>
      <c r="E11" s="16">
        <f>E12+E17+E21+E24+E30+E34+E35+E38+E39+E40+E41+E42+E43+E44+E45+E46+E47+E48+E49</f>
        <v>74367.153611000016</v>
      </c>
      <c r="F11" s="16">
        <f>F12+F17+F21+F24+F30+F34+F35+F38+F39+F40+F41+F42+F43+F44+F45+F46+F47+F48+F49</f>
        <v>55554.055798000009</v>
      </c>
      <c r="G11" s="16">
        <f t="shared" si="0"/>
        <v>174.44793246774574</v>
      </c>
      <c r="H11" s="16">
        <f t="shared" si="0"/>
        <v>172.65144605774313</v>
      </c>
      <c r="J11" s="170"/>
    </row>
    <row r="12" spans="1:11" s="30" customFormat="1" ht="31.5">
      <c r="A12" s="28">
        <v>1</v>
      </c>
      <c r="B12" s="17" t="s">
        <v>78</v>
      </c>
      <c r="C12" s="29">
        <f>SUM(C13:C16)</f>
        <v>0</v>
      </c>
      <c r="D12" s="29">
        <f>SUM(D13:D16)</f>
        <v>0</v>
      </c>
      <c r="E12" s="171">
        <f>SUM(E13:E16)</f>
        <v>0.64559800000000001</v>
      </c>
      <c r="F12" s="171">
        <f>SUM(F13:F16)</f>
        <v>1.5958E-2</v>
      </c>
      <c r="G12" s="16"/>
      <c r="H12" s="18"/>
    </row>
    <row r="13" spans="1:11" ht="14.85" customHeight="1">
      <c r="A13" s="31"/>
      <c r="B13" s="32" t="s">
        <v>79</v>
      </c>
      <c r="C13" s="29"/>
      <c r="D13" s="29"/>
      <c r="E13" s="172">
        <f>15/1000</f>
        <v>1.4999999999999999E-2</v>
      </c>
      <c r="F13" s="171">
        <f>2.25/1000</f>
        <v>2.2499999999999998E-3</v>
      </c>
      <c r="G13" s="16"/>
      <c r="H13" s="18"/>
    </row>
    <row r="14" spans="1:11" ht="15.75">
      <c r="A14" s="10"/>
      <c r="B14" s="32" t="s">
        <v>80</v>
      </c>
      <c r="C14" s="18">
        <v>0</v>
      </c>
      <c r="D14" s="18"/>
      <c r="E14" s="171">
        <v>0.61559799999999998</v>
      </c>
      <c r="F14" s="168">
        <f>11.458/1000</f>
        <v>1.1457999999999999E-2</v>
      </c>
      <c r="G14" s="16"/>
      <c r="H14" s="18"/>
    </row>
    <row r="15" spans="1:11" ht="15.75">
      <c r="A15" s="10"/>
      <c r="B15" s="32" t="s">
        <v>81</v>
      </c>
      <c r="C15" s="18"/>
      <c r="D15" s="18"/>
      <c r="E15" s="168">
        <f>15/1000</f>
        <v>1.4999999999999999E-2</v>
      </c>
      <c r="F15" s="168">
        <f>2.25/1000</f>
        <v>2.2499999999999998E-3</v>
      </c>
      <c r="G15" s="16"/>
      <c r="H15" s="18"/>
    </row>
    <row r="16" spans="1:11" ht="15.75">
      <c r="A16" s="10"/>
      <c r="B16" s="32" t="s">
        <v>82</v>
      </c>
      <c r="C16" s="18"/>
      <c r="D16" s="18"/>
      <c r="E16" s="18">
        <v>0</v>
      </c>
      <c r="F16" s="18">
        <v>0</v>
      </c>
      <c r="G16" s="16"/>
      <c r="H16" s="18"/>
    </row>
    <row r="17" spans="1:8" s="30" customFormat="1" ht="36" customHeight="1">
      <c r="A17" s="28">
        <v>2</v>
      </c>
      <c r="B17" s="17" t="s">
        <v>83</v>
      </c>
      <c r="C17" s="29">
        <f>SUM(C18:C20)</f>
        <v>250</v>
      </c>
      <c r="D17" s="29">
        <f>SUM(D18:D20)</f>
        <v>54</v>
      </c>
      <c r="E17" s="29">
        <f>SUM(E18:E20)</f>
        <v>455.56962699999997</v>
      </c>
      <c r="F17" s="29">
        <f>SUM(F18:F20)</f>
        <v>67.488239000000007</v>
      </c>
      <c r="G17" s="18">
        <f>E17/C17*100</f>
        <v>182.2278508</v>
      </c>
      <c r="H17" s="18">
        <f>F17/D17*100</f>
        <v>124.97822037037038</v>
      </c>
    </row>
    <row r="18" spans="1:8" s="36" customFormat="1" ht="15.75">
      <c r="A18" s="33"/>
      <c r="B18" s="34" t="s">
        <v>79</v>
      </c>
      <c r="C18" s="35"/>
      <c r="D18" s="35"/>
      <c r="E18" s="35">
        <v>2.6929699999999999</v>
      </c>
      <c r="F18" s="35">
        <f>403.946/1000</f>
        <v>0.40394600000000003</v>
      </c>
      <c r="G18" s="18"/>
      <c r="H18" s="18"/>
    </row>
    <row r="19" spans="1:8" s="36" customFormat="1" ht="15.75">
      <c r="A19" s="33"/>
      <c r="B19" s="34" t="s">
        <v>80</v>
      </c>
      <c r="C19" s="35">
        <v>20</v>
      </c>
      <c r="D19" s="35">
        <v>20</v>
      </c>
      <c r="E19" s="35">
        <v>5.6480420000000002</v>
      </c>
      <c r="F19" s="35"/>
      <c r="G19" s="18">
        <f>E19/C19*100</f>
        <v>28.240209999999998</v>
      </c>
      <c r="H19" s="18">
        <f>F19/D19*100</f>
        <v>0</v>
      </c>
    </row>
    <row r="20" spans="1:8" s="36" customFormat="1" ht="15.75">
      <c r="A20" s="31"/>
      <c r="B20" s="34" t="s">
        <v>81</v>
      </c>
      <c r="C20" s="35">
        <v>230</v>
      </c>
      <c r="D20" s="35">
        <v>34</v>
      </c>
      <c r="E20" s="37">
        <v>447.22861499999999</v>
      </c>
      <c r="F20" s="37">
        <f>67084.293/1000</f>
        <v>67.084293000000002</v>
      </c>
      <c r="G20" s="18">
        <f>E20/C20*100</f>
        <v>194.44722391304347</v>
      </c>
      <c r="H20" s="18">
        <f>F20/D20*100</f>
        <v>197.30674411764707</v>
      </c>
    </row>
    <row r="21" spans="1:8" s="30" customFormat="1" ht="31.5">
      <c r="A21" s="28">
        <v>3</v>
      </c>
      <c r="B21" s="17" t="s">
        <v>84</v>
      </c>
      <c r="C21" s="18">
        <f>SUM(C22:C23)</f>
        <v>0</v>
      </c>
      <c r="D21" s="18">
        <f>SUM(D22:D23)</f>
        <v>0</v>
      </c>
      <c r="E21" s="18">
        <f>SUM(E22:E23)</f>
        <v>0</v>
      </c>
      <c r="F21" s="18">
        <f>SUM(F22:F23)</f>
        <v>0</v>
      </c>
      <c r="G21" s="18"/>
      <c r="H21" s="18"/>
    </row>
    <row r="22" spans="1:8" s="36" customFormat="1" ht="15.75">
      <c r="A22" s="33"/>
      <c r="B22" s="34" t="s">
        <v>79</v>
      </c>
      <c r="C22" s="37"/>
      <c r="D22" s="37"/>
      <c r="E22" s="37"/>
      <c r="F22" s="37"/>
      <c r="G22" s="18"/>
      <c r="H22" s="18"/>
    </row>
    <row r="23" spans="1:8" s="36" customFormat="1" ht="15.75">
      <c r="A23" s="31"/>
      <c r="B23" s="34" t="s">
        <v>81</v>
      </c>
      <c r="C23" s="37"/>
      <c r="D23" s="37"/>
      <c r="E23" s="37"/>
      <c r="F23" s="37"/>
      <c r="G23" s="18"/>
      <c r="H23" s="18"/>
    </row>
    <row r="24" spans="1:8" s="30" customFormat="1" ht="15.75">
      <c r="A24" s="28">
        <v>4</v>
      </c>
      <c r="B24" s="17" t="s">
        <v>85</v>
      </c>
      <c r="C24" s="29">
        <f>SUM(C25:C29)</f>
        <v>37670</v>
      </c>
      <c r="D24" s="29">
        <f>SUM(D25:D29)</f>
        <v>29549</v>
      </c>
      <c r="E24" s="29">
        <f>SUM(E25:E29)</f>
        <v>65114.43088</v>
      </c>
      <c r="F24" s="29">
        <f>SUM(F25:F29)</f>
        <v>51262.366844999997</v>
      </c>
      <c r="G24" s="18">
        <f t="shared" ref="G24:H28" si="1">E24/C24*100</f>
        <v>172.85487358640827</v>
      </c>
      <c r="H24" s="18">
        <f t="shared" si="1"/>
        <v>173.48257756607669</v>
      </c>
    </row>
    <row r="25" spans="1:8" s="36" customFormat="1" ht="15.75">
      <c r="A25" s="33"/>
      <c r="B25" s="38" t="s">
        <v>86</v>
      </c>
      <c r="C25" s="39">
        <v>19000</v>
      </c>
      <c r="D25" s="39">
        <v>16150</v>
      </c>
      <c r="E25" s="35">
        <v>32101.528936999999</v>
      </c>
      <c r="F25" s="35">
        <f>27286299.727/1000</f>
        <v>27286.299727000001</v>
      </c>
      <c r="G25" s="18">
        <f t="shared" si="1"/>
        <v>168.95541545789473</v>
      </c>
      <c r="H25" s="18">
        <f t="shared" si="1"/>
        <v>168.95541626625388</v>
      </c>
    </row>
    <row r="26" spans="1:8" s="36" customFormat="1" ht="15.75">
      <c r="A26" s="33"/>
      <c r="B26" s="38" t="s">
        <v>87</v>
      </c>
      <c r="C26" s="39">
        <v>200</v>
      </c>
      <c r="D26" s="39">
        <v>170</v>
      </c>
      <c r="E26" s="35">
        <v>5055.2004699999998</v>
      </c>
      <c r="F26" s="35">
        <f>4296924.025/1000</f>
        <v>4296.9240250000003</v>
      </c>
      <c r="G26" s="18">
        <f t="shared" si="1"/>
        <v>2527.6002349999999</v>
      </c>
      <c r="H26" s="18">
        <f t="shared" si="1"/>
        <v>2527.6023676470591</v>
      </c>
    </row>
    <row r="27" spans="1:8" s="36" customFormat="1" ht="31.5">
      <c r="A27" s="33"/>
      <c r="B27" s="38" t="s">
        <v>88</v>
      </c>
      <c r="C27" s="39"/>
      <c r="D27" s="39"/>
      <c r="E27" s="35">
        <v>6.5734500000000002</v>
      </c>
      <c r="F27" s="35">
        <f>6573.45/1000</f>
        <v>6.5734500000000002</v>
      </c>
      <c r="G27" s="18"/>
      <c r="H27" s="18"/>
    </row>
    <row r="28" spans="1:8" s="36" customFormat="1" ht="15.75">
      <c r="A28" s="31"/>
      <c r="B28" s="38" t="s">
        <v>89</v>
      </c>
      <c r="C28" s="39">
        <v>18470</v>
      </c>
      <c r="D28" s="39">
        <v>13229</v>
      </c>
      <c r="E28" s="35">
        <v>27951.128023000001</v>
      </c>
      <c r="F28" s="35">
        <f>19672569.643/1000</f>
        <v>19672.569642999999</v>
      </c>
      <c r="G28" s="18">
        <f t="shared" si="1"/>
        <v>151.33258269085005</v>
      </c>
      <c r="H28" s="18">
        <f t="shared" si="1"/>
        <v>148.70791173180135</v>
      </c>
    </row>
    <row r="29" spans="1:8" s="36" customFormat="1" ht="15.75">
      <c r="A29" s="40"/>
      <c r="B29" s="38" t="s">
        <v>90</v>
      </c>
      <c r="C29" s="39"/>
      <c r="D29" s="39"/>
      <c r="E29" s="35"/>
      <c r="F29" s="35"/>
      <c r="G29" s="18"/>
      <c r="H29" s="18"/>
    </row>
    <row r="30" spans="1:8" s="30" customFormat="1" ht="15.75">
      <c r="A30" s="10">
        <v>5</v>
      </c>
      <c r="B30" s="17" t="s">
        <v>91</v>
      </c>
      <c r="C30" s="18">
        <v>550</v>
      </c>
      <c r="D30" s="18">
        <v>495</v>
      </c>
      <c r="E30" s="18">
        <v>1286.1956929999999</v>
      </c>
      <c r="F30" s="18">
        <f>1206754.6/1000</f>
        <v>1206.7546</v>
      </c>
      <c r="G30" s="18">
        <f>E30/C30*100</f>
        <v>233.85376236363635</v>
      </c>
      <c r="H30" s="18">
        <f>F30/D30*100</f>
        <v>243.78880808080808</v>
      </c>
    </row>
    <row r="31" spans="1:8" s="30" customFormat="1" ht="15" customHeight="1">
      <c r="A31" s="10">
        <v>6</v>
      </c>
      <c r="B31" s="17" t="s">
        <v>92</v>
      </c>
      <c r="C31" s="18"/>
      <c r="D31" s="18"/>
      <c r="E31" s="18"/>
      <c r="F31" s="18"/>
      <c r="G31" s="18"/>
      <c r="H31" s="18"/>
    </row>
    <row r="32" spans="1:8" ht="31.5" hidden="1">
      <c r="A32" s="10" t="s">
        <v>28</v>
      </c>
      <c r="B32" s="41" t="s">
        <v>93</v>
      </c>
      <c r="C32" s="18"/>
      <c r="D32" s="18"/>
      <c r="E32" s="18"/>
      <c r="F32" s="18"/>
      <c r="G32" s="18" t="e">
        <f t="shared" ref="G32:H35" si="2">E32/C32*100</f>
        <v>#DIV/0!</v>
      </c>
      <c r="H32" s="18" t="e">
        <f t="shared" si="2"/>
        <v>#DIV/0!</v>
      </c>
    </row>
    <row r="33" spans="1:8" ht="15.75" hidden="1">
      <c r="A33" s="10" t="s">
        <v>28</v>
      </c>
      <c r="B33" s="41" t="s">
        <v>94</v>
      </c>
      <c r="C33" s="18"/>
      <c r="D33" s="18"/>
      <c r="E33" s="18"/>
      <c r="F33" s="18"/>
      <c r="G33" s="18" t="e">
        <f t="shared" si="2"/>
        <v>#DIV/0!</v>
      </c>
      <c r="H33" s="18" t="e">
        <f t="shared" si="2"/>
        <v>#DIV/0!</v>
      </c>
    </row>
    <row r="34" spans="1:8" s="30" customFormat="1" ht="15.75">
      <c r="A34" s="10">
        <v>7</v>
      </c>
      <c r="B34" s="17" t="s">
        <v>95</v>
      </c>
      <c r="C34" s="18">
        <v>900</v>
      </c>
      <c r="D34" s="18">
        <v>900</v>
      </c>
      <c r="E34" s="18">
        <v>946.143461</v>
      </c>
      <c r="F34" s="18">
        <f>946143.461/1000</f>
        <v>946.143461</v>
      </c>
      <c r="G34" s="18">
        <f t="shared" si="2"/>
        <v>105.12705122222221</v>
      </c>
      <c r="H34" s="18">
        <f t="shared" si="2"/>
        <v>105.12705122222221</v>
      </c>
    </row>
    <row r="35" spans="1:8" s="30" customFormat="1" ht="15.75">
      <c r="A35" s="10">
        <v>8</v>
      </c>
      <c r="B35" s="17" t="s">
        <v>96</v>
      </c>
      <c r="C35" s="18">
        <v>515</v>
      </c>
      <c r="D35" s="18">
        <v>515</v>
      </c>
      <c r="E35" s="18">
        <v>416.78522400000003</v>
      </c>
      <c r="F35" s="18">
        <f>404111.164/1000</f>
        <v>404.11116399999997</v>
      </c>
      <c r="G35" s="18">
        <f t="shared" si="2"/>
        <v>80.929169708737874</v>
      </c>
      <c r="H35" s="18">
        <f t="shared" si="2"/>
        <v>78.468187184466004</v>
      </c>
    </row>
    <row r="36" spans="1:8" s="36" customFormat="1" ht="15.75">
      <c r="A36" s="40" t="s">
        <v>28</v>
      </c>
      <c r="B36" s="41" t="s">
        <v>97</v>
      </c>
      <c r="C36" s="37"/>
      <c r="D36" s="37">
        <v>0</v>
      </c>
      <c r="E36" s="37">
        <v>13.674060000000001</v>
      </c>
      <c r="F36" s="37">
        <v>1</v>
      </c>
      <c r="G36" s="18"/>
      <c r="H36" s="18"/>
    </row>
    <row r="37" spans="1:8" s="36" customFormat="1" ht="31.5">
      <c r="A37" s="40" t="s">
        <v>28</v>
      </c>
      <c r="B37" s="41" t="s">
        <v>98</v>
      </c>
      <c r="C37" s="37">
        <v>515</v>
      </c>
      <c r="D37" s="37">
        <v>515</v>
      </c>
      <c r="E37" s="37">
        <v>403.11116399999997</v>
      </c>
      <c r="F37" s="37">
        <f>403111.164/1000</f>
        <v>403.11116399999997</v>
      </c>
      <c r="G37" s="18">
        <f>E37/C37*100</f>
        <v>78.274012427184459</v>
      </c>
      <c r="H37" s="18">
        <f>F37/D37*100</f>
        <v>78.274012427184459</v>
      </c>
    </row>
    <row r="38" spans="1:8" s="30" customFormat="1" ht="15" customHeight="1">
      <c r="A38" s="10">
        <v>9</v>
      </c>
      <c r="B38" s="17" t="s">
        <v>99</v>
      </c>
      <c r="C38" s="18"/>
      <c r="D38" s="18"/>
      <c r="E38" s="18"/>
      <c r="F38" s="18"/>
      <c r="G38" s="18"/>
      <c r="H38" s="18"/>
    </row>
    <row r="39" spans="1:8" s="30" customFormat="1" ht="15.75">
      <c r="A39" s="10">
        <v>10</v>
      </c>
      <c r="B39" s="17" t="s">
        <v>100</v>
      </c>
      <c r="C39" s="18"/>
      <c r="D39" s="18"/>
      <c r="E39" s="18">
        <v>3.8803909999999999</v>
      </c>
      <c r="F39" s="18">
        <f>3880.391/1000</f>
        <v>3.8803909999999999</v>
      </c>
      <c r="G39" s="18"/>
      <c r="H39" s="18"/>
    </row>
    <row r="40" spans="1:8" s="30" customFormat="1" ht="15.75">
      <c r="A40" s="10">
        <v>11</v>
      </c>
      <c r="B40" s="17" t="s">
        <v>101</v>
      </c>
      <c r="C40" s="18">
        <v>95</v>
      </c>
      <c r="D40" s="18">
        <v>76</v>
      </c>
      <c r="E40" s="18">
        <v>6.1839959999999996</v>
      </c>
      <c r="F40" s="18">
        <f>4947.197/1000</f>
        <v>4.9471970000000001</v>
      </c>
      <c r="G40" s="18">
        <f>E40/C40*100</f>
        <v>6.5094694736842094</v>
      </c>
      <c r="H40" s="18">
        <f>F40/D40*100</f>
        <v>6.5094697368421048</v>
      </c>
    </row>
    <row r="41" spans="1:8" s="30" customFormat="1" ht="15.75">
      <c r="A41" s="10">
        <v>12</v>
      </c>
      <c r="B41" s="17" t="s">
        <v>102</v>
      </c>
      <c r="C41" s="18">
        <v>100</v>
      </c>
      <c r="D41" s="18">
        <v>88</v>
      </c>
      <c r="E41" s="18">
        <v>940.73610299999996</v>
      </c>
      <c r="F41" s="18">
        <f>827654.797/1000</f>
        <v>827.65479700000003</v>
      </c>
      <c r="G41" s="18">
        <f>E41/C41*100</f>
        <v>940.73610299999984</v>
      </c>
      <c r="H41" s="18">
        <f>F41/D41*100</f>
        <v>940.51681477272734</v>
      </c>
    </row>
    <row r="42" spans="1:8" s="30" customFormat="1" ht="31.5">
      <c r="A42" s="10">
        <v>13</v>
      </c>
      <c r="B42" s="17" t="s">
        <v>103</v>
      </c>
      <c r="C42" s="18"/>
      <c r="D42" s="18"/>
      <c r="E42" s="18"/>
      <c r="F42" s="18"/>
      <c r="G42" s="18"/>
      <c r="H42" s="18"/>
    </row>
    <row r="43" spans="1:8" s="30" customFormat="1" ht="15.75">
      <c r="A43" s="10">
        <v>14</v>
      </c>
      <c r="B43" s="17" t="s">
        <v>104</v>
      </c>
      <c r="C43" s="18"/>
      <c r="D43" s="18"/>
      <c r="E43" s="18"/>
      <c r="F43" s="18"/>
      <c r="G43" s="18"/>
      <c r="H43" s="18"/>
    </row>
    <row r="44" spans="1:8" s="30" customFormat="1" ht="15.75">
      <c r="A44" s="10">
        <v>15</v>
      </c>
      <c r="B44" s="17" t="s">
        <v>105</v>
      </c>
      <c r="C44" s="18">
        <v>1860</v>
      </c>
      <c r="D44" s="18">
        <v>0</v>
      </c>
      <c r="E44" s="18">
        <v>3738.6729909999999</v>
      </c>
      <c r="F44" s="18">
        <f>35550/1000</f>
        <v>35.549999999999997</v>
      </c>
      <c r="G44" s="18">
        <f>E44/C44*100</f>
        <v>201.00392424731183</v>
      </c>
      <c r="H44" s="18"/>
    </row>
    <row r="45" spans="1:8" s="30" customFormat="1" ht="15.75">
      <c r="A45" s="10">
        <v>16</v>
      </c>
      <c r="B45" s="17" t="s">
        <v>106</v>
      </c>
      <c r="C45" s="18">
        <v>690</v>
      </c>
      <c r="D45" s="18">
        <v>500</v>
      </c>
      <c r="E45" s="18">
        <v>1457.9096469999999</v>
      </c>
      <c r="F45" s="18">
        <f>795143.146/1000</f>
        <v>795.143146</v>
      </c>
      <c r="G45" s="18">
        <f>E45/C45*100</f>
        <v>211.29125318840579</v>
      </c>
      <c r="H45" s="18">
        <f>F45/D45*100</f>
        <v>159.02862920000001</v>
      </c>
    </row>
    <row r="46" spans="1:8" s="30" customFormat="1" ht="15.75">
      <c r="A46" s="10">
        <v>17</v>
      </c>
      <c r="B46" s="17" t="s">
        <v>107</v>
      </c>
      <c r="C46" s="18"/>
      <c r="D46" s="18"/>
      <c r="E46" s="18"/>
      <c r="F46" s="18"/>
      <c r="G46" s="16"/>
      <c r="H46" s="18"/>
    </row>
    <row r="47" spans="1:8" s="30" customFormat="1" ht="15.75">
      <c r="A47" s="10">
        <v>18</v>
      </c>
      <c r="B47" s="17" t="s">
        <v>108</v>
      </c>
      <c r="C47" s="18"/>
      <c r="D47" s="18"/>
      <c r="E47" s="18"/>
      <c r="F47" s="18"/>
      <c r="G47" s="16"/>
      <c r="H47" s="18"/>
    </row>
    <row r="48" spans="1:8" s="30" customFormat="1" ht="47.25">
      <c r="A48" s="10">
        <v>19</v>
      </c>
      <c r="B48" s="17" t="s">
        <v>109</v>
      </c>
      <c r="C48" s="18"/>
      <c r="D48" s="18"/>
      <c r="E48" s="18"/>
      <c r="F48" s="18"/>
      <c r="G48" s="16"/>
      <c r="H48" s="18"/>
    </row>
    <row r="49" spans="1:8" s="30" customFormat="1" ht="15.75">
      <c r="A49" s="10">
        <v>20</v>
      </c>
      <c r="B49" s="17" t="s">
        <v>110</v>
      </c>
      <c r="C49" s="18"/>
      <c r="D49" s="18"/>
      <c r="E49" s="18"/>
      <c r="F49" s="18"/>
      <c r="G49" s="16"/>
      <c r="H49" s="18"/>
    </row>
    <row r="50" spans="1:8" ht="15.75">
      <c r="A50" s="14" t="s">
        <v>31</v>
      </c>
      <c r="B50" s="15" t="s">
        <v>111</v>
      </c>
      <c r="C50" s="18"/>
      <c r="D50" s="18"/>
      <c r="E50" s="18"/>
      <c r="F50" s="18"/>
      <c r="G50" s="16"/>
      <c r="H50" s="18"/>
    </row>
    <row r="51" spans="1:8" ht="15.75">
      <c r="A51" s="14" t="s">
        <v>35</v>
      </c>
      <c r="B51" s="15" t="s">
        <v>112</v>
      </c>
      <c r="C51" s="18"/>
      <c r="D51" s="18"/>
      <c r="E51" s="18"/>
      <c r="F51" s="18"/>
      <c r="G51" s="16"/>
      <c r="H51" s="18"/>
    </row>
    <row r="52" spans="1:8" s="30" customFormat="1" ht="15.75">
      <c r="A52" s="10">
        <v>1</v>
      </c>
      <c r="B52" s="17" t="s">
        <v>113</v>
      </c>
      <c r="C52" s="18"/>
      <c r="D52" s="18"/>
      <c r="E52" s="18"/>
      <c r="F52" s="18"/>
      <c r="G52" s="16"/>
      <c r="H52" s="18"/>
    </row>
    <row r="53" spans="1:8" s="30" customFormat="1" ht="15.75">
      <c r="A53" s="10">
        <v>2</v>
      </c>
      <c r="B53" s="17" t="s">
        <v>114</v>
      </c>
      <c r="C53" s="18"/>
      <c r="D53" s="18"/>
      <c r="E53" s="18"/>
      <c r="F53" s="18"/>
      <c r="G53" s="16"/>
      <c r="H53" s="18"/>
    </row>
    <row r="54" spans="1:8" s="30" customFormat="1" ht="31.5">
      <c r="A54" s="10">
        <v>3</v>
      </c>
      <c r="B54" s="17" t="s">
        <v>115</v>
      </c>
      <c r="C54" s="18"/>
      <c r="D54" s="18"/>
      <c r="E54" s="18"/>
      <c r="F54" s="18"/>
      <c r="G54" s="16"/>
      <c r="H54" s="18"/>
    </row>
    <row r="55" spans="1:8" s="30" customFormat="1" ht="31.5">
      <c r="A55" s="10">
        <v>4</v>
      </c>
      <c r="B55" s="17" t="s">
        <v>116</v>
      </c>
      <c r="C55" s="18"/>
      <c r="D55" s="18"/>
      <c r="E55" s="18"/>
      <c r="F55" s="18"/>
      <c r="G55" s="16"/>
      <c r="H55" s="18"/>
    </row>
    <row r="56" spans="1:8" s="30" customFormat="1" ht="15.75">
      <c r="A56" s="10">
        <v>5</v>
      </c>
      <c r="B56" s="17" t="s">
        <v>117</v>
      </c>
      <c r="C56" s="18"/>
      <c r="D56" s="18"/>
      <c r="E56" s="18"/>
      <c r="F56" s="18"/>
      <c r="G56" s="16"/>
      <c r="H56" s="18"/>
    </row>
    <row r="57" spans="1:8" s="30" customFormat="1" ht="15.75">
      <c r="A57" s="10">
        <v>6</v>
      </c>
      <c r="B57" s="17" t="s">
        <v>118</v>
      </c>
      <c r="C57" s="18"/>
      <c r="D57" s="18"/>
      <c r="E57" s="18"/>
      <c r="F57" s="18"/>
      <c r="G57" s="16"/>
      <c r="H57" s="18"/>
    </row>
    <row r="58" spans="1:8" ht="15.75">
      <c r="A58" s="14" t="s">
        <v>37</v>
      </c>
      <c r="B58" s="15" t="s">
        <v>119</v>
      </c>
      <c r="C58" s="18"/>
      <c r="D58" s="18"/>
      <c r="E58" s="18"/>
      <c r="F58" s="18"/>
      <c r="G58" s="16"/>
      <c r="H58" s="18"/>
    </row>
    <row r="59" spans="1:8" ht="15.75">
      <c r="A59" s="14" t="s">
        <v>23</v>
      </c>
      <c r="B59" s="15" t="s">
        <v>120</v>
      </c>
      <c r="C59" s="18"/>
      <c r="D59" s="18"/>
      <c r="E59" s="18"/>
      <c r="F59" s="18"/>
      <c r="G59" s="16"/>
      <c r="H59" s="18"/>
    </row>
    <row r="60" spans="1:8" ht="15.75">
      <c r="A60" s="14" t="s">
        <v>56</v>
      </c>
      <c r="B60" s="15" t="s">
        <v>121</v>
      </c>
      <c r="C60" s="18"/>
      <c r="D60" s="18"/>
      <c r="E60" s="16">
        <v>616.51746700000001</v>
      </c>
      <c r="F60" s="16">
        <f>616517.467/1000</f>
        <v>616.5174669999999</v>
      </c>
      <c r="G60" s="16"/>
      <c r="H60" s="18"/>
    </row>
    <row r="61" spans="1:8" ht="31.5">
      <c r="A61" s="14" t="s">
        <v>58</v>
      </c>
      <c r="B61" s="15" t="s">
        <v>122</v>
      </c>
      <c r="C61" s="18"/>
      <c r="D61" s="18"/>
      <c r="E61" s="16">
        <v>26042.411764</v>
      </c>
      <c r="F61" s="16">
        <f>26042411.764/1000</f>
        <v>26042.411763999997</v>
      </c>
      <c r="G61" s="16"/>
      <c r="H61" s="18"/>
    </row>
    <row r="62" spans="1:8" ht="21" customHeight="1">
      <c r="A62" s="42" t="s">
        <v>123</v>
      </c>
    </row>
    <row r="63" spans="1:8" ht="36.75" customHeight="1">
      <c r="A63" s="361" t="s">
        <v>124</v>
      </c>
      <c r="B63" s="361"/>
      <c r="C63" s="361"/>
      <c r="D63" s="361"/>
      <c r="E63" s="361"/>
      <c r="F63" s="361"/>
      <c r="G63" s="361"/>
      <c r="H63" s="361"/>
    </row>
    <row r="64" spans="1:8" ht="36.75" customHeight="1">
      <c r="A64" s="361" t="s">
        <v>125</v>
      </c>
      <c r="B64" s="361"/>
      <c r="C64" s="361"/>
      <c r="D64" s="361"/>
      <c r="E64" s="361"/>
      <c r="F64" s="361"/>
      <c r="G64" s="361"/>
      <c r="H64" s="361"/>
    </row>
    <row r="65" spans="1:8" ht="49.5" customHeight="1">
      <c r="A65" s="361" t="s">
        <v>126</v>
      </c>
      <c r="B65" s="361"/>
      <c r="C65" s="361"/>
      <c r="D65" s="361"/>
      <c r="E65" s="361"/>
      <c r="F65" s="361"/>
      <c r="G65" s="361"/>
      <c r="H65" s="361"/>
    </row>
    <row r="66" spans="1:8" ht="49.5" customHeight="1">
      <c r="A66" s="361" t="s">
        <v>127</v>
      </c>
      <c r="B66" s="361"/>
      <c r="C66" s="361"/>
      <c r="D66" s="361"/>
      <c r="E66" s="361"/>
      <c r="F66" s="361"/>
      <c r="G66" s="361"/>
      <c r="H66" s="361"/>
    </row>
    <row r="67" spans="1:8" ht="68.849999999999994" customHeight="1">
      <c r="A67" s="361" t="s">
        <v>424</v>
      </c>
      <c r="B67" s="361"/>
      <c r="C67" s="361"/>
      <c r="D67" s="361"/>
      <c r="E67" s="361"/>
      <c r="F67" s="361"/>
      <c r="G67" s="361"/>
      <c r="H67" s="361"/>
    </row>
  </sheetData>
  <mergeCells count="13">
    <mergeCell ref="A1:B1"/>
    <mergeCell ref="A3:H3"/>
    <mergeCell ref="A4:H4"/>
    <mergeCell ref="A6:A7"/>
    <mergeCell ref="B6:B7"/>
    <mergeCell ref="C6:D6"/>
    <mergeCell ref="E6:F6"/>
    <mergeCell ref="G6:H6"/>
    <mergeCell ref="A63:H63"/>
    <mergeCell ref="A64:H64"/>
    <mergeCell ref="A65:H65"/>
    <mergeCell ref="A66:H66"/>
    <mergeCell ref="A67:H67"/>
  </mergeCells>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13"/>
  <sheetViews>
    <sheetView topLeftCell="A37" workbookViewId="0">
      <selection activeCell="E10" sqref="E10"/>
    </sheetView>
  </sheetViews>
  <sheetFormatPr defaultColWidth="8.85546875" defaultRowHeight="15"/>
  <cols>
    <col min="1" max="1" width="6.140625" style="43" customWidth="1"/>
    <col min="2" max="2" width="53.42578125" style="43" customWidth="1"/>
    <col min="3" max="3" width="14" style="44" customWidth="1"/>
    <col min="4" max="4" width="16.5703125" style="44" customWidth="1"/>
    <col min="5" max="5" width="11.85546875" style="44" customWidth="1"/>
    <col min="6" max="6" width="8.85546875" style="43"/>
    <col min="7" max="7" width="17.42578125" style="332" customWidth="1"/>
    <col min="8" max="8" width="14.140625" style="332" bestFit="1" customWidth="1"/>
    <col min="9" max="12" width="8.85546875" style="332"/>
    <col min="13" max="243" width="8.85546875" style="43"/>
    <col min="244" max="244" width="6.140625" style="43" customWidth="1"/>
    <col min="245" max="245" width="53.42578125" style="43" customWidth="1"/>
    <col min="246" max="246" width="14" style="43" customWidth="1"/>
    <col min="247" max="247" width="15.5703125" style="43" customWidth="1"/>
    <col min="248" max="248" width="11.7109375" style="43" customWidth="1"/>
    <col min="249" max="252" width="0" style="43" hidden="1" customWidth="1"/>
    <col min="253" max="253" width="12.28515625" style="43" customWidth="1"/>
    <col min="254" max="499" width="8.85546875" style="43"/>
    <col min="500" max="500" width="6.140625" style="43" customWidth="1"/>
    <col min="501" max="501" width="53.42578125" style="43" customWidth="1"/>
    <col min="502" max="502" width="14" style="43" customWidth="1"/>
    <col min="503" max="503" width="15.5703125" style="43" customWidth="1"/>
    <col min="504" max="504" width="11.7109375" style="43" customWidth="1"/>
    <col min="505" max="508" width="0" style="43" hidden="1" customWidth="1"/>
    <col min="509" max="509" width="12.28515625" style="43" customWidth="1"/>
    <col min="510" max="755" width="8.85546875" style="43"/>
    <col min="756" max="756" width="6.140625" style="43" customWidth="1"/>
    <col min="757" max="757" width="53.42578125" style="43" customWidth="1"/>
    <col min="758" max="758" width="14" style="43" customWidth="1"/>
    <col min="759" max="759" width="15.5703125" style="43" customWidth="1"/>
    <col min="760" max="760" width="11.7109375" style="43" customWidth="1"/>
    <col min="761" max="764" width="0" style="43" hidden="1" customWidth="1"/>
    <col min="765" max="765" width="12.28515625" style="43" customWidth="1"/>
    <col min="766" max="1011" width="8.85546875" style="43"/>
    <col min="1012" max="1012" width="6.140625" style="43" customWidth="1"/>
    <col min="1013" max="1013" width="53.42578125" style="43" customWidth="1"/>
    <col min="1014" max="1014" width="14" style="43" customWidth="1"/>
    <col min="1015" max="1015" width="15.5703125" style="43" customWidth="1"/>
    <col min="1016" max="1016" width="11.7109375" style="43" customWidth="1"/>
    <col min="1017" max="1020" width="0" style="43" hidden="1" customWidth="1"/>
    <col min="1021" max="1021" width="12.28515625" style="43" customWidth="1"/>
    <col min="1022" max="1267" width="8.85546875" style="43"/>
    <col min="1268" max="1268" width="6.140625" style="43" customWidth="1"/>
    <col min="1269" max="1269" width="53.42578125" style="43" customWidth="1"/>
    <col min="1270" max="1270" width="14" style="43" customWidth="1"/>
    <col min="1271" max="1271" width="15.5703125" style="43" customWidth="1"/>
    <col min="1272" max="1272" width="11.7109375" style="43" customWidth="1"/>
    <col min="1273" max="1276" width="0" style="43" hidden="1" customWidth="1"/>
    <col min="1277" max="1277" width="12.28515625" style="43" customWidth="1"/>
    <col min="1278" max="1523" width="8.85546875" style="43"/>
    <col min="1524" max="1524" width="6.140625" style="43" customWidth="1"/>
    <col min="1525" max="1525" width="53.42578125" style="43" customWidth="1"/>
    <col min="1526" max="1526" width="14" style="43" customWidth="1"/>
    <col min="1527" max="1527" width="15.5703125" style="43" customWidth="1"/>
    <col min="1528" max="1528" width="11.7109375" style="43" customWidth="1"/>
    <col min="1529" max="1532" width="0" style="43" hidden="1" customWidth="1"/>
    <col min="1533" max="1533" width="12.28515625" style="43" customWidth="1"/>
    <col min="1534" max="1779" width="8.85546875" style="43"/>
    <col min="1780" max="1780" width="6.140625" style="43" customWidth="1"/>
    <col min="1781" max="1781" width="53.42578125" style="43" customWidth="1"/>
    <col min="1782" max="1782" width="14" style="43" customWidth="1"/>
    <col min="1783" max="1783" width="15.5703125" style="43" customWidth="1"/>
    <col min="1784" max="1784" width="11.7109375" style="43" customWidth="1"/>
    <col min="1785" max="1788" width="0" style="43" hidden="1" customWidth="1"/>
    <col min="1789" max="1789" width="12.28515625" style="43" customWidth="1"/>
    <col min="1790" max="2035" width="8.85546875" style="43"/>
    <col min="2036" max="2036" width="6.140625" style="43" customWidth="1"/>
    <col min="2037" max="2037" width="53.42578125" style="43" customWidth="1"/>
    <col min="2038" max="2038" width="14" style="43" customWidth="1"/>
    <col min="2039" max="2039" width="15.5703125" style="43" customWidth="1"/>
    <col min="2040" max="2040" width="11.7109375" style="43" customWidth="1"/>
    <col min="2041" max="2044" width="0" style="43" hidden="1" customWidth="1"/>
    <col min="2045" max="2045" width="12.28515625" style="43" customWidth="1"/>
    <col min="2046" max="2291" width="8.85546875" style="43"/>
    <col min="2292" max="2292" width="6.140625" style="43" customWidth="1"/>
    <col min="2293" max="2293" width="53.42578125" style="43" customWidth="1"/>
    <col min="2294" max="2294" width="14" style="43" customWidth="1"/>
    <col min="2295" max="2295" width="15.5703125" style="43" customWidth="1"/>
    <col min="2296" max="2296" width="11.7109375" style="43" customWidth="1"/>
    <col min="2297" max="2300" width="0" style="43" hidden="1" customWidth="1"/>
    <col min="2301" max="2301" width="12.28515625" style="43" customWidth="1"/>
    <col min="2302" max="2547" width="8.85546875" style="43"/>
    <col min="2548" max="2548" width="6.140625" style="43" customWidth="1"/>
    <col min="2549" max="2549" width="53.42578125" style="43" customWidth="1"/>
    <col min="2550" max="2550" width="14" style="43" customWidth="1"/>
    <col min="2551" max="2551" width="15.5703125" style="43" customWidth="1"/>
    <col min="2552" max="2552" width="11.7109375" style="43" customWidth="1"/>
    <col min="2553" max="2556" width="0" style="43" hidden="1" customWidth="1"/>
    <col min="2557" max="2557" width="12.28515625" style="43" customWidth="1"/>
    <col min="2558" max="2803" width="8.85546875" style="43"/>
    <col min="2804" max="2804" width="6.140625" style="43" customWidth="1"/>
    <col min="2805" max="2805" width="53.42578125" style="43" customWidth="1"/>
    <col min="2806" max="2806" width="14" style="43" customWidth="1"/>
    <col min="2807" max="2807" width="15.5703125" style="43" customWidth="1"/>
    <col min="2808" max="2808" width="11.7109375" style="43" customWidth="1"/>
    <col min="2809" max="2812" width="0" style="43" hidden="1" customWidth="1"/>
    <col min="2813" max="2813" width="12.28515625" style="43" customWidth="1"/>
    <col min="2814" max="3059" width="8.85546875" style="43"/>
    <col min="3060" max="3060" width="6.140625" style="43" customWidth="1"/>
    <col min="3061" max="3061" width="53.42578125" style="43" customWidth="1"/>
    <col min="3062" max="3062" width="14" style="43" customWidth="1"/>
    <col min="3063" max="3063" width="15.5703125" style="43" customWidth="1"/>
    <col min="3064" max="3064" width="11.7109375" style="43" customWidth="1"/>
    <col min="3065" max="3068" width="0" style="43" hidden="1" customWidth="1"/>
    <col min="3069" max="3069" width="12.28515625" style="43" customWidth="1"/>
    <col min="3070" max="3315" width="8.85546875" style="43"/>
    <col min="3316" max="3316" width="6.140625" style="43" customWidth="1"/>
    <col min="3317" max="3317" width="53.42578125" style="43" customWidth="1"/>
    <col min="3318" max="3318" width="14" style="43" customWidth="1"/>
    <col min="3319" max="3319" width="15.5703125" style="43" customWidth="1"/>
    <col min="3320" max="3320" width="11.7109375" style="43" customWidth="1"/>
    <col min="3321" max="3324" width="0" style="43" hidden="1" customWidth="1"/>
    <col min="3325" max="3325" width="12.28515625" style="43" customWidth="1"/>
    <col min="3326" max="3571" width="8.85546875" style="43"/>
    <col min="3572" max="3572" width="6.140625" style="43" customWidth="1"/>
    <col min="3573" max="3573" width="53.42578125" style="43" customWidth="1"/>
    <col min="3574" max="3574" width="14" style="43" customWidth="1"/>
    <col min="3575" max="3575" width="15.5703125" style="43" customWidth="1"/>
    <col min="3576" max="3576" width="11.7109375" style="43" customWidth="1"/>
    <col min="3577" max="3580" width="0" style="43" hidden="1" customWidth="1"/>
    <col min="3581" max="3581" width="12.28515625" style="43" customWidth="1"/>
    <col min="3582" max="3827" width="8.85546875" style="43"/>
    <col min="3828" max="3828" width="6.140625" style="43" customWidth="1"/>
    <col min="3829" max="3829" width="53.42578125" style="43" customWidth="1"/>
    <col min="3830" max="3830" width="14" style="43" customWidth="1"/>
    <col min="3831" max="3831" width="15.5703125" style="43" customWidth="1"/>
    <col min="3832" max="3832" width="11.7109375" style="43" customWidth="1"/>
    <col min="3833" max="3836" width="0" style="43" hidden="1" customWidth="1"/>
    <col min="3837" max="3837" width="12.28515625" style="43" customWidth="1"/>
    <col min="3838" max="4083" width="8.85546875" style="43"/>
    <col min="4084" max="4084" width="6.140625" style="43" customWidth="1"/>
    <col min="4085" max="4085" width="53.42578125" style="43" customWidth="1"/>
    <col min="4086" max="4086" width="14" style="43" customWidth="1"/>
    <col min="4087" max="4087" width="15.5703125" style="43" customWidth="1"/>
    <col min="4088" max="4088" width="11.7109375" style="43" customWidth="1"/>
    <col min="4089" max="4092" width="0" style="43" hidden="1" customWidth="1"/>
    <col min="4093" max="4093" width="12.28515625" style="43" customWidth="1"/>
    <col min="4094" max="4339" width="8.85546875" style="43"/>
    <col min="4340" max="4340" width="6.140625" style="43" customWidth="1"/>
    <col min="4341" max="4341" width="53.42578125" style="43" customWidth="1"/>
    <col min="4342" max="4342" width="14" style="43" customWidth="1"/>
    <col min="4343" max="4343" width="15.5703125" style="43" customWidth="1"/>
    <col min="4344" max="4344" width="11.7109375" style="43" customWidth="1"/>
    <col min="4345" max="4348" width="0" style="43" hidden="1" customWidth="1"/>
    <col min="4349" max="4349" width="12.28515625" style="43" customWidth="1"/>
    <col min="4350" max="4595" width="8.85546875" style="43"/>
    <col min="4596" max="4596" width="6.140625" style="43" customWidth="1"/>
    <col min="4597" max="4597" width="53.42578125" style="43" customWidth="1"/>
    <col min="4598" max="4598" width="14" style="43" customWidth="1"/>
    <col min="4599" max="4599" width="15.5703125" style="43" customWidth="1"/>
    <col min="4600" max="4600" width="11.7109375" style="43" customWidth="1"/>
    <col min="4601" max="4604" width="0" style="43" hidden="1" customWidth="1"/>
    <col min="4605" max="4605" width="12.28515625" style="43" customWidth="1"/>
    <col min="4606" max="4851" width="8.85546875" style="43"/>
    <col min="4852" max="4852" width="6.140625" style="43" customWidth="1"/>
    <col min="4853" max="4853" width="53.42578125" style="43" customWidth="1"/>
    <col min="4854" max="4854" width="14" style="43" customWidth="1"/>
    <col min="4855" max="4855" width="15.5703125" style="43" customWidth="1"/>
    <col min="4856" max="4856" width="11.7109375" style="43" customWidth="1"/>
    <col min="4857" max="4860" width="0" style="43" hidden="1" customWidth="1"/>
    <col min="4861" max="4861" width="12.28515625" style="43" customWidth="1"/>
    <col min="4862" max="5107" width="8.85546875" style="43"/>
    <col min="5108" max="5108" width="6.140625" style="43" customWidth="1"/>
    <col min="5109" max="5109" width="53.42578125" style="43" customWidth="1"/>
    <col min="5110" max="5110" width="14" style="43" customWidth="1"/>
    <col min="5111" max="5111" width="15.5703125" style="43" customWidth="1"/>
    <col min="5112" max="5112" width="11.7109375" style="43" customWidth="1"/>
    <col min="5113" max="5116" width="0" style="43" hidden="1" customWidth="1"/>
    <col min="5117" max="5117" width="12.28515625" style="43" customWidth="1"/>
    <col min="5118" max="5363" width="8.85546875" style="43"/>
    <col min="5364" max="5364" width="6.140625" style="43" customWidth="1"/>
    <col min="5365" max="5365" width="53.42578125" style="43" customWidth="1"/>
    <col min="5366" max="5366" width="14" style="43" customWidth="1"/>
    <col min="5367" max="5367" width="15.5703125" style="43" customWidth="1"/>
    <col min="5368" max="5368" width="11.7109375" style="43" customWidth="1"/>
    <col min="5369" max="5372" width="0" style="43" hidden="1" customWidth="1"/>
    <col min="5373" max="5373" width="12.28515625" style="43" customWidth="1"/>
    <col min="5374" max="5619" width="8.85546875" style="43"/>
    <col min="5620" max="5620" width="6.140625" style="43" customWidth="1"/>
    <col min="5621" max="5621" width="53.42578125" style="43" customWidth="1"/>
    <col min="5622" max="5622" width="14" style="43" customWidth="1"/>
    <col min="5623" max="5623" width="15.5703125" style="43" customWidth="1"/>
    <col min="5624" max="5624" width="11.7109375" style="43" customWidth="1"/>
    <col min="5625" max="5628" width="0" style="43" hidden="1" customWidth="1"/>
    <col min="5629" max="5629" width="12.28515625" style="43" customWidth="1"/>
    <col min="5630" max="5875" width="8.85546875" style="43"/>
    <col min="5876" max="5876" width="6.140625" style="43" customWidth="1"/>
    <col min="5877" max="5877" width="53.42578125" style="43" customWidth="1"/>
    <col min="5878" max="5878" width="14" style="43" customWidth="1"/>
    <col min="5879" max="5879" width="15.5703125" style="43" customWidth="1"/>
    <col min="5880" max="5880" width="11.7109375" style="43" customWidth="1"/>
    <col min="5881" max="5884" width="0" style="43" hidden="1" customWidth="1"/>
    <col min="5885" max="5885" width="12.28515625" style="43" customWidth="1"/>
    <col min="5886" max="6131" width="8.85546875" style="43"/>
    <col min="6132" max="6132" width="6.140625" style="43" customWidth="1"/>
    <col min="6133" max="6133" width="53.42578125" style="43" customWidth="1"/>
    <col min="6134" max="6134" width="14" style="43" customWidth="1"/>
    <col min="6135" max="6135" width="15.5703125" style="43" customWidth="1"/>
    <col min="6136" max="6136" width="11.7109375" style="43" customWidth="1"/>
    <col min="6137" max="6140" width="0" style="43" hidden="1" customWidth="1"/>
    <col min="6141" max="6141" width="12.28515625" style="43" customWidth="1"/>
    <col min="6142" max="6387" width="8.85546875" style="43"/>
    <col min="6388" max="6388" width="6.140625" style="43" customWidth="1"/>
    <col min="6389" max="6389" width="53.42578125" style="43" customWidth="1"/>
    <col min="6390" max="6390" width="14" style="43" customWidth="1"/>
    <col min="6391" max="6391" width="15.5703125" style="43" customWidth="1"/>
    <col min="6392" max="6392" width="11.7109375" style="43" customWidth="1"/>
    <col min="6393" max="6396" width="0" style="43" hidden="1" customWidth="1"/>
    <col min="6397" max="6397" width="12.28515625" style="43" customWidth="1"/>
    <col min="6398" max="6643" width="8.85546875" style="43"/>
    <col min="6644" max="6644" width="6.140625" style="43" customWidth="1"/>
    <col min="6645" max="6645" width="53.42578125" style="43" customWidth="1"/>
    <col min="6646" max="6646" width="14" style="43" customWidth="1"/>
    <col min="6647" max="6647" width="15.5703125" style="43" customWidth="1"/>
    <col min="6648" max="6648" width="11.7109375" style="43" customWidth="1"/>
    <col min="6649" max="6652" width="0" style="43" hidden="1" customWidth="1"/>
    <col min="6653" max="6653" width="12.28515625" style="43" customWidth="1"/>
    <col min="6654" max="6899" width="8.85546875" style="43"/>
    <col min="6900" max="6900" width="6.140625" style="43" customWidth="1"/>
    <col min="6901" max="6901" width="53.42578125" style="43" customWidth="1"/>
    <col min="6902" max="6902" width="14" style="43" customWidth="1"/>
    <col min="6903" max="6903" width="15.5703125" style="43" customWidth="1"/>
    <col min="6904" max="6904" width="11.7109375" style="43" customWidth="1"/>
    <col min="6905" max="6908" width="0" style="43" hidden="1" customWidth="1"/>
    <col min="6909" max="6909" width="12.28515625" style="43" customWidth="1"/>
    <col min="6910" max="7155" width="8.85546875" style="43"/>
    <col min="7156" max="7156" width="6.140625" style="43" customWidth="1"/>
    <col min="7157" max="7157" width="53.42578125" style="43" customWidth="1"/>
    <col min="7158" max="7158" width="14" style="43" customWidth="1"/>
    <col min="7159" max="7159" width="15.5703125" style="43" customWidth="1"/>
    <col min="7160" max="7160" width="11.7109375" style="43" customWidth="1"/>
    <col min="7161" max="7164" width="0" style="43" hidden="1" customWidth="1"/>
    <col min="7165" max="7165" width="12.28515625" style="43" customWidth="1"/>
    <col min="7166" max="7411" width="8.85546875" style="43"/>
    <col min="7412" max="7412" width="6.140625" style="43" customWidth="1"/>
    <col min="7413" max="7413" width="53.42578125" style="43" customWidth="1"/>
    <col min="7414" max="7414" width="14" style="43" customWidth="1"/>
    <col min="7415" max="7415" width="15.5703125" style="43" customWidth="1"/>
    <col min="7416" max="7416" width="11.7109375" style="43" customWidth="1"/>
    <col min="7417" max="7420" width="0" style="43" hidden="1" customWidth="1"/>
    <col min="7421" max="7421" width="12.28515625" style="43" customWidth="1"/>
    <col min="7422" max="7667" width="8.85546875" style="43"/>
    <col min="7668" max="7668" width="6.140625" style="43" customWidth="1"/>
    <col min="7669" max="7669" width="53.42578125" style="43" customWidth="1"/>
    <col min="7670" max="7670" width="14" style="43" customWidth="1"/>
    <col min="7671" max="7671" width="15.5703125" style="43" customWidth="1"/>
    <col min="7672" max="7672" width="11.7109375" style="43" customWidth="1"/>
    <col min="7673" max="7676" width="0" style="43" hidden="1" customWidth="1"/>
    <col min="7677" max="7677" width="12.28515625" style="43" customWidth="1"/>
    <col min="7678" max="7923" width="8.85546875" style="43"/>
    <col min="7924" max="7924" width="6.140625" style="43" customWidth="1"/>
    <col min="7925" max="7925" width="53.42578125" style="43" customWidth="1"/>
    <col min="7926" max="7926" width="14" style="43" customWidth="1"/>
    <col min="7927" max="7927" width="15.5703125" style="43" customWidth="1"/>
    <col min="7928" max="7928" width="11.7109375" style="43" customWidth="1"/>
    <col min="7929" max="7932" width="0" style="43" hidden="1" customWidth="1"/>
    <col min="7933" max="7933" width="12.28515625" style="43" customWidth="1"/>
    <col min="7934" max="8179" width="8.85546875" style="43"/>
    <col min="8180" max="8180" width="6.140625" style="43" customWidth="1"/>
    <col min="8181" max="8181" width="53.42578125" style="43" customWidth="1"/>
    <col min="8182" max="8182" width="14" style="43" customWidth="1"/>
    <col min="8183" max="8183" width="15.5703125" style="43" customWidth="1"/>
    <col min="8184" max="8184" width="11.7109375" style="43" customWidth="1"/>
    <col min="8185" max="8188" width="0" style="43" hidden="1" customWidth="1"/>
    <col min="8189" max="8189" width="12.28515625" style="43" customWidth="1"/>
    <col min="8190" max="8435" width="8.85546875" style="43"/>
    <col min="8436" max="8436" width="6.140625" style="43" customWidth="1"/>
    <col min="8437" max="8437" width="53.42578125" style="43" customWidth="1"/>
    <col min="8438" max="8438" width="14" style="43" customWidth="1"/>
    <col min="8439" max="8439" width="15.5703125" style="43" customWidth="1"/>
    <col min="8440" max="8440" width="11.7109375" style="43" customWidth="1"/>
    <col min="8441" max="8444" width="0" style="43" hidden="1" customWidth="1"/>
    <col min="8445" max="8445" width="12.28515625" style="43" customWidth="1"/>
    <col min="8446" max="8691" width="8.85546875" style="43"/>
    <col min="8692" max="8692" width="6.140625" style="43" customWidth="1"/>
    <col min="8693" max="8693" width="53.42578125" style="43" customWidth="1"/>
    <col min="8694" max="8694" width="14" style="43" customWidth="1"/>
    <col min="8695" max="8695" width="15.5703125" style="43" customWidth="1"/>
    <col min="8696" max="8696" width="11.7109375" style="43" customWidth="1"/>
    <col min="8697" max="8700" width="0" style="43" hidden="1" customWidth="1"/>
    <col min="8701" max="8701" width="12.28515625" style="43" customWidth="1"/>
    <col min="8702" max="8947" width="8.85546875" style="43"/>
    <col min="8948" max="8948" width="6.140625" style="43" customWidth="1"/>
    <col min="8949" max="8949" width="53.42578125" style="43" customWidth="1"/>
    <col min="8950" max="8950" width="14" style="43" customWidth="1"/>
    <col min="8951" max="8951" width="15.5703125" style="43" customWidth="1"/>
    <col min="8952" max="8952" width="11.7109375" style="43" customWidth="1"/>
    <col min="8953" max="8956" width="0" style="43" hidden="1" customWidth="1"/>
    <col min="8957" max="8957" width="12.28515625" style="43" customWidth="1"/>
    <col min="8958" max="9203" width="8.85546875" style="43"/>
    <col min="9204" max="9204" width="6.140625" style="43" customWidth="1"/>
    <col min="9205" max="9205" width="53.42578125" style="43" customWidth="1"/>
    <col min="9206" max="9206" width="14" style="43" customWidth="1"/>
    <col min="9207" max="9207" width="15.5703125" style="43" customWidth="1"/>
    <col min="9208" max="9208" width="11.7109375" style="43" customWidth="1"/>
    <col min="9209" max="9212" width="0" style="43" hidden="1" customWidth="1"/>
    <col min="9213" max="9213" width="12.28515625" style="43" customWidth="1"/>
    <col min="9214" max="9459" width="8.85546875" style="43"/>
    <col min="9460" max="9460" width="6.140625" style="43" customWidth="1"/>
    <col min="9461" max="9461" width="53.42578125" style="43" customWidth="1"/>
    <col min="9462" max="9462" width="14" style="43" customWidth="1"/>
    <col min="9463" max="9463" width="15.5703125" style="43" customWidth="1"/>
    <col min="9464" max="9464" width="11.7109375" style="43" customWidth="1"/>
    <col min="9465" max="9468" width="0" style="43" hidden="1" customWidth="1"/>
    <col min="9469" max="9469" width="12.28515625" style="43" customWidth="1"/>
    <col min="9470" max="9715" width="8.85546875" style="43"/>
    <col min="9716" max="9716" width="6.140625" style="43" customWidth="1"/>
    <col min="9717" max="9717" width="53.42578125" style="43" customWidth="1"/>
    <col min="9718" max="9718" width="14" style="43" customWidth="1"/>
    <col min="9719" max="9719" width="15.5703125" style="43" customWidth="1"/>
    <col min="9720" max="9720" width="11.7109375" style="43" customWidth="1"/>
    <col min="9721" max="9724" width="0" style="43" hidden="1" customWidth="1"/>
    <col min="9725" max="9725" width="12.28515625" style="43" customWidth="1"/>
    <col min="9726" max="9971" width="8.85546875" style="43"/>
    <col min="9972" max="9972" width="6.140625" style="43" customWidth="1"/>
    <col min="9973" max="9973" width="53.42578125" style="43" customWidth="1"/>
    <col min="9974" max="9974" width="14" style="43" customWidth="1"/>
    <col min="9975" max="9975" width="15.5703125" style="43" customWidth="1"/>
    <col min="9976" max="9976" width="11.7109375" style="43" customWidth="1"/>
    <col min="9977" max="9980" width="0" style="43" hidden="1" customWidth="1"/>
    <col min="9981" max="9981" width="12.28515625" style="43" customWidth="1"/>
    <col min="9982" max="10227" width="8.85546875" style="43"/>
    <col min="10228" max="10228" width="6.140625" style="43" customWidth="1"/>
    <col min="10229" max="10229" width="53.42578125" style="43" customWidth="1"/>
    <col min="10230" max="10230" width="14" style="43" customWidth="1"/>
    <col min="10231" max="10231" width="15.5703125" style="43" customWidth="1"/>
    <col min="10232" max="10232" width="11.7109375" style="43" customWidth="1"/>
    <col min="10233" max="10236" width="0" style="43" hidden="1" customWidth="1"/>
    <col min="10237" max="10237" width="12.28515625" style="43" customWidth="1"/>
    <col min="10238" max="10483" width="8.85546875" style="43"/>
    <col min="10484" max="10484" width="6.140625" style="43" customWidth="1"/>
    <col min="10485" max="10485" width="53.42578125" style="43" customWidth="1"/>
    <col min="10486" max="10486" width="14" style="43" customWidth="1"/>
    <col min="10487" max="10487" width="15.5703125" style="43" customWidth="1"/>
    <col min="10488" max="10488" width="11.7109375" style="43" customWidth="1"/>
    <col min="10489" max="10492" width="0" style="43" hidden="1" customWidth="1"/>
    <col min="10493" max="10493" width="12.28515625" style="43" customWidth="1"/>
    <col min="10494" max="10739" width="8.85546875" style="43"/>
    <col min="10740" max="10740" width="6.140625" style="43" customWidth="1"/>
    <col min="10741" max="10741" width="53.42578125" style="43" customWidth="1"/>
    <col min="10742" max="10742" width="14" style="43" customWidth="1"/>
    <col min="10743" max="10743" width="15.5703125" style="43" customWidth="1"/>
    <col min="10744" max="10744" width="11.7109375" style="43" customWidth="1"/>
    <col min="10745" max="10748" width="0" style="43" hidden="1" customWidth="1"/>
    <col min="10749" max="10749" width="12.28515625" style="43" customWidth="1"/>
    <col min="10750" max="10995" width="8.85546875" style="43"/>
    <col min="10996" max="10996" width="6.140625" style="43" customWidth="1"/>
    <col min="10997" max="10997" width="53.42578125" style="43" customWidth="1"/>
    <col min="10998" max="10998" width="14" style="43" customWidth="1"/>
    <col min="10999" max="10999" width="15.5703125" style="43" customWidth="1"/>
    <col min="11000" max="11000" width="11.7109375" style="43" customWidth="1"/>
    <col min="11001" max="11004" width="0" style="43" hidden="1" customWidth="1"/>
    <col min="11005" max="11005" width="12.28515625" style="43" customWidth="1"/>
    <col min="11006" max="11251" width="8.85546875" style="43"/>
    <col min="11252" max="11252" width="6.140625" style="43" customWidth="1"/>
    <col min="11253" max="11253" width="53.42578125" style="43" customWidth="1"/>
    <col min="11254" max="11254" width="14" style="43" customWidth="1"/>
    <col min="11255" max="11255" width="15.5703125" style="43" customWidth="1"/>
    <col min="11256" max="11256" width="11.7109375" style="43" customWidth="1"/>
    <col min="11257" max="11260" width="0" style="43" hidden="1" customWidth="1"/>
    <col min="11261" max="11261" width="12.28515625" style="43" customWidth="1"/>
    <col min="11262" max="11507" width="8.85546875" style="43"/>
    <col min="11508" max="11508" width="6.140625" style="43" customWidth="1"/>
    <col min="11509" max="11509" width="53.42578125" style="43" customWidth="1"/>
    <col min="11510" max="11510" width="14" style="43" customWidth="1"/>
    <col min="11511" max="11511" width="15.5703125" style="43" customWidth="1"/>
    <col min="11512" max="11512" width="11.7109375" style="43" customWidth="1"/>
    <col min="11513" max="11516" width="0" style="43" hidden="1" customWidth="1"/>
    <col min="11517" max="11517" width="12.28515625" style="43" customWidth="1"/>
    <col min="11518" max="11763" width="8.85546875" style="43"/>
    <col min="11764" max="11764" width="6.140625" style="43" customWidth="1"/>
    <col min="11765" max="11765" width="53.42578125" style="43" customWidth="1"/>
    <col min="11766" max="11766" width="14" style="43" customWidth="1"/>
    <col min="11767" max="11767" width="15.5703125" style="43" customWidth="1"/>
    <col min="11768" max="11768" width="11.7109375" style="43" customWidth="1"/>
    <col min="11769" max="11772" width="0" style="43" hidden="1" customWidth="1"/>
    <col min="11773" max="11773" width="12.28515625" style="43" customWidth="1"/>
    <col min="11774" max="12019" width="8.85546875" style="43"/>
    <col min="12020" max="12020" width="6.140625" style="43" customWidth="1"/>
    <col min="12021" max="12021" width="53.42578125" style="43" customWidth="1"/>
    <col min="12022" max="12022" width="14" style="43" customWidth="1"/>
    <col min="12023" max="12023" width="15.5703125" style="43" customWidth="1"/>
    <col min="12024" max="12024" width="11.7109375" style="43" customWidth="1"/>
    <col min="12025" max="12028" width="0" style="43" hidden="1" customWidth="1"/>
    <col min="12029" max="12029" width="12.28515625" style="43" customWidth="1"/>
    <col min="12030" max="12275" width="8.85546875" style="43"/>
    <col min="12276" max="12276" width="6.140625" style="43" customWidth="1"/>
    <col min="12277" max="12277" width="53.42578125" style="43" customWidth="1"/>
    <col min="12278" max="12278" width="14" style="43" customWidth="1"/>
    <col min="12279" max="12279" width="15.5703125" style="43" customWidth="1"/>
    <col min="12280" max="12280" width="11.7109375" style="43" customWidth="1"/>
    <col min="12281" max="12284" width="0" style="43" hidden="1" customWidth="1"/>
    <col min="12285" max="12285" width="12.28515625" style="43" customWidth="1"/>
    <col min="12286" max="12531" width="8.85546875" style="43"/>
    <col min="12532" max="12532" width="6.140625" style="43" customWidth="1"/>
    <col min="12533" max="12533" width="53.42578125" style="43" customWidth="1"/>
    <col min="12534" max="12534" width="14" style="43" customWidth="1"/>
    <col min="12535" max="12535" width="15.5703125" style="43" customWidth="1"/>
    <col min="12536" max="12536" width="11.7109375" style="43" customWidth="1"/>
    <col min="12537" max="12540" width="0" style="43" hidden="1" customWidth="1"/>
    <col min="12541" max="12541" width="12.28515625" style="43" customWidth="1"/>
    <col min="12542" max="12787" width="8.85546875" style="43"/>
    <col min="12788" max="12788" width="6.140625" style="43" customWidth="1"/>
    <col min="12789" max="12789" width="53.42578125" style="43" customWidth="1"/>
    <col min="12790" max="12790" width="14" style="43" customWidth="1"/>
    <col min="12791" max="12791" width="15.5703125" style="43" customWidth="1"/>
    <col min="12792" max="12792" width="11.7109375" style="43" customWidth="1"/>
    <col min="12793" max="12796" width="0" style="43" hidden="1" customWidth="1"/>
    <col min="12797" max="12797" width="12.28515625" style="43" customWidth="1"/>
    <col min="12798" max="13043" width="8.85546875" style="43"/>
    <col min="13044" max="13044" width="6.140625" style="43" customWidth="1"/>
    <col min="13045" max="13045" width="53.42578125" style="43" customWidth="1"/>
    <col min="13046" max="13046" width="14" style="43" customWidth="1"/>
    <col min="13047" max="13047" width="15.5703125" style="43" customWidth="1"/>
    <col min="13048" max="13048" width="11.7109375" style="43" customWidth="1"/>
    <col min="13049" max="13052" width="0" style="43" hidden="1" customWidth="1"/>
    <col min="13053" max="13053" width="12.28515625" style="43" customWidth="1"/>
    <col min="13054" max="13299" width="8.85546875" style="43"/>
    <col min="13300" max="13300" width="6.140625" style="43" customWidth="1"/>
    <col min="13301" max="13301" width="53.42578125" style="43" customWidth="1"/>
    <col min="13302" max="13302" width="14" style="43" customWidth="1"/>
    <col min="13303" max="13303" width="15.5703125" style="43" customWidth="1"/>
    <col min="13304" max="13304" width="11.7109375" style="43" customWidth="1"/>
    <col min="13305" max="13308" width="0" style="43" hidden="1" customWidth="1"/>
    <col min="13309" max="13309" width="12.28515625" style="43" customWidth="1"/>
    <col min="13310" max="13555" width="8.85546875" style="43"/>
    <col min="13556" max="13556" width="6.140625" style="43" customWidth="1"/>
    <col min="13557" max="13557" width="53.42578125" style="43" customWidth="1"/>
    <col min="13558" max="13558" width="14" style="43" customWidth="1"/>
    <col min="13559" max="13559" width="15.5703125" style="43" customWidth="1"/>
    <col min="13560" max="13560" width="11.7109375" style="43" customWidth="1"/>
    <col min="13561" max="13564" width="0" style="43" hidden="1" customWidth="1"/>
    <col min="13565" max="13565" width="12.28515625" style="43" customWidth="1"/>
    <col min="13566" max="13811" width="8.85546875" style="43"/>
    <col min="13812" max="13812" width="6.140625" style="43" customWidth="1"/>
    <col min="13813" max="13813" width="53.42578125" style="43" customWidth="1"/>
    <col min="13814" max="13814" width="14" style="43" customWidth="1"/>
    <col min="13815" max="13815" width="15.5703125" style="43" customWidth="1"/>
    <col min="13816" max="13816" width="11.7109375" style="43" customWidth="1"/>
    <col min="13817" max="13820" width="0" style="43" hidden="1" customWidth="1"/>
    <col min="13821" max="13821" width="12.28515625" style="43" customWidth="1"/>
    <col min="13822" max="14067" width="8.85546875" style="43"/>
    <col min="14068" max="14068" width="6.140625" style="43" customWidth="1"/>
    <col min="14069" max="14069" width="53.42578125" style="43" customWidth="1"/>
    <col min="14070" max="14070" width="14" style="43" customWidth="1"/>
    <col min="14071" max="14071" width="15.5703125" style="43" customWidth="1"/>
    <col min="14072" max="14072" width="11.7109375" style="43" customWidth="1"/>
    <col min="14073" max="14076" width="0" style="43" hidden="1" customWidth="1"/>
    <col min="14077" max="14077" width="12.28515625" style="43" customWidth="1"/>
    <col min="14078" max="14323" width="8.85546875" style="43"/>
    <col min="14324" max="14324" width="6.140625" style="43" customWidth="1"/>
    <col min="14325" max="14325" width="53.42578125" style="43" customWidth="1"/>
    <col min="14326" max="14326" width="14" style="43" customWidth="1"/>
    <col min="14327" max="14327" width="15.5703125" style="43" customWidth="1"/>
    <col min="14328" max="14328" width="11.7109375" style="43" customWidth="1"/>
    <col min="14329" max="14332" width="0" style="43" hidden="1" customWidth="1"/>
    <col min="14333" max="14333" width="12.28515625" style="43" customWidth="1"/>
    <col min="14334" max="14579" width="8.85546875" style="43"/>
    <col min="14580" max="14580" width="6.140625" style="43" customWidth="1"/>
    <col min="14581" max="14581" width="53.42578125" style="43" customWidth="1"/>
    <col min="14582" max="14582" width="14" style="43" customWidth="1"/>
    <col min="14583" max="14583" width="15.5703125" style="43" customWidth="1"/>
    <col min="14584" max="14584" width="11.7109375" style="43" customWidth="1"/>
    <col min="14585" max="14588" width="0" style="43" hidden="1" customWidth="1"/>
    <col min="14589" max="14589" width="12.28515625" style="43" customWidth="1"/>
    <col min="14590" max="14835" width="8.85546875" style="43"/>
    <col min="14836" max="14836" width="6.140625" style="43" customWidth="1"/>
    <col min="14837" max="14837" width="53.42578125" style="43" customWidth="1"/>
    <col min="14838" max="14838" width="14" style="43" customWidth="1"/>
    <col min="14839" max="14839" width="15.5703125" style="43" customWidth="1"/>
    <col min="14840" max="14840" width="11.7109375" style="43" customWidth="1"/>
    <col min="14841" max="14844" width="0" style="43" hidden="1" customWidth="1"/>
    <col min="14845" max="14845" width="12.28515625" style="43" customWidth="1"/>
    <col min="14846" max="15091" width="8.85546875" style="43"/>
    <col min="15092" max="15092" width="6.140625" style="43" customWidth="1"/>
    <col min="15093" max="15093" width="53.42578125" style="43" customWidth="1"/>
    <col min="15094" max="15094" width="14" style="43" customWidth="1"/>
    <col min="15095" max="15095" width="15.5703125" style="43" customWidth="1"/>
    <col min="15096" max="15096" width="11.7109375" style="43" customWidth="1"/>
    <col min="15097" max="15100" width="0" style="43" hidden="1" customWidth="1"/>
    <col min="15101" max="15101" width="12.28515625" style="43" customWidth="1"/>
    <col min="15102" max="15347" width="8.85546875" style="43"/>
    <col min="15348" max="15348" width="6.140625" style="43" customWidth="1"/>
    <col min="15349" max="15349" width="53.42578125" style="43" customWidth="1"/>
    <col min="15350" max="15350" width="14" style="43" customWidth="1"/>
    <col min="15351" max="15351" width="15.5703125" style="43" customWidth="1"/>
    <col min="15352" max="15352" width="11.7109375" style="43" customWidth="1"/>
    <col min="15353" max="15356" width="0" style="43" hidden="1" customWidth="1"/>
    <col min="15357" max="15357" width="12.28515625" style="43" customWidth="1"/>
    <col min="15358" max="15603" width="8.85546875" style="43"/>
    <col min="15604" max="15604" width="6.140625" style="43" customWidth="1"/>
    <col min="15605" max="15605" width="53.42578125" style="43" customWidth="1"/>
    <col min="15606" max="15606" width="14" style="43" customWidth="1"/>
    <col min="15607" max="15607" width="15.5703125" style="43" customWidth="1"/>
    <col min="15608" max="15608" width="11.7109375" style="43" customWidth="1"/>
    <col min="15609" max="15612" width="0" style="43" hidden="1" customWidth="1"/>
    <col min="15613" max="15613" width="12.28515625" style="43" customWidth="1"/>
    <col min="15614" max="15859" width="8.85546875" style="43"/>
    <col min="15860" max="15860" width="6.140625" style="43" customWidth="1"/>
    <col min="15861" max="15861" width="53.42578125" style="43" customWidth="1"/>
    <col min="15862" max="15862" width="14" style="43" customWidth="1"/>
    <col min="15863" max="15863" width="15.5703125" style="43" customWidth="1"/>
    <col min="15864" max="15864" width="11.7109375" style="43" customWidth="1"/>
    <col min="15865" max="15868" width="0" style="43" hidden="1" customWidth="1"/>
    <col min="15869" max="15869" width="12.28515625" style="43" customWidth="1"/>
    <col min="15870" max="16115" width="8.85546875" style="43"/>
    <col min="16116" max="16116" width="6.140625" style="43" customWidth="1"/>
    <col min="16117" max="16117" width="53.42578125" style="43" customWidth="1"/>
    <col min="16118" max="16118" width="14" style="43" customWidth="1"/>
    <col min="16119" max="16119" width="15.5703125" style="43" customWidth="1"/>
    <col min="16120" max="16120" width="11.7109375" style="43" customWidth="1"/>
    <col min="16121" max="16124" width="0" style="43" hidden="1" customWidth="1"/>
    <col min="16125" max="16125" width="12.28515625" style="43" customWidth="1"/>
    <col min="16126" max="16384" width="8.85546875" style="43"/>
  </cols>
  <sheetData>
    <row r="1" spans="1:8" ht="16.5">
      <c r="A1" s="366" t="s">
        <v>517</v>
      </c>
      <c r="B1" s="366"/>
      <c r="E1" s="45" t="s">
        <v>128</v>
      </c>
    </row>
    <row r="2" spans="1:8" ht="37.5" customHeight="1">
      <c r="A2" s="363" t="s">
        <v>398</v>
      </c>
      <c r="B2" s="363"/>
      <c r="C2" s="363"/>
      <c r="D2" s="363"/>
      <c r="E2" s="363"/>
    </row>
    <row r="3" spans="1:8" ht="37.5" customHeight="1">
      <c r="A3" s="364" t="str">
        <f>'50'!A4:H4</f>
        <v>(Kèm theo Nghị quyết số            /NQ-HĐND ngày     tháng     năm 2023 của Hội đồng nhân dân huyện)</v>
      </c>
      <c r="B3" s="364"/>
      <c r="C3" s="364"/>
      <c r="D3" s="364"/>
      <c r="E3" s="364"/>
    </row>
    <row r="4" spans="1:8" ht="21.75" customHeight="1">
      <c r="E4" s="46" t="s">
        <v>15</v>
      </c>
    </row>
    <row r="5" spans="1:8" ht="41.25" customHeight="1">
      <c r="A5" s="47" t="s">
        <v>0</v>
      </c>
      <c r="B5" s="47" t="s">
        <v>16</v>
      </c>
      <c r="C5" s="48" t="s">
        <v>17</v>
      </c>
      <c r="D5" s="48" t="s">
        <v>18</v>
      </c>
      <c r="E5" s="48" t="s">
        <v>69</v>
      </c>
    </row>
    <row r="6" spans="1:8" ht="15.75">
      <c r="A6" s="47" t="s">
        <v>22</v>
      </c>
      <c r="B6" s="47" t="s">
        <v>23</v>
      </c>
      <c r="C6" s="125">
        <v>1</v>
      </c>
      <c r="D6" s="125">
        <v>2</v>
      </c>
      <c r="E6" s="125" t="s">
        <v>129</v>
      </c>
      <c r="G6" s="332" t="s">
        <v>425</v>
      </c>
      <c r="H6" s="332" t="s">
        <v>426</v>
      </c>
    </row>
    <row r="7" spans="1:8" ht="19.5" customHeight="1">
      <c r="A7" s="47"/>
      <c r="B7" s="49" t="s">
        <v>130</v>
      </c>
      <c r="C7" s="50">
        <f>C8+C36+C111+C112</f>
        <v>307084</v>
      </c>
      <c r="D7" s="219">
        <f>D8+D36+D111+D112</f>
        <v>540020.47557700006</v>
      </c>
      <c r="E7" s="51">
        <f>D7/C7*100</f>
        <v>175.85431855029896</v>
      </c>
      <c r="G7" s="339">
        <v>611975.885197</v>
      </c>
      <c r="H7" s="340">
        <f>G7-D7</f>
        <v>71955.409619999933</v>
      </c>
    </row>
    <row r="8" spans="1:8" ht="19.5" customHeight="1">
      <c r="A8" s="47" t="s">
        <v>22</v>
      </c>
      <c r="B8" s="49" t="s">
        <v>131</v>
      </c>
      <c r="C8" s="50">
        <f>C9+C29+C35</f>
        <v>300896</v>
      </c>
      <c r="D8" s="219">
        <f>D9+D29+D35</f>
        <v>300972.29649199999</v>
      </c>
      <c r="E8" s="51">
        <f t="shared" ref="E8:E56" si="0">D8/C8*100</f>
        <v>100.0253564327874</v>
      </c>
    </row>
    <row r="9" spans="1:8" ht="19.5" customHeight="1">
      <c r="A9" s="52" t="s">
        <v>3</v>
      </c>
      <c r="B9" s="53" t="s">
        <v>45</v>
      </c>
      <c r="C9" s="54">
        <f>C10+C27+C28</f>
        <v>7678</v>
      </c>
      <c r="D9" s="220">
        <f>D10+D27+D28</f>
        <v>11019.230011</v>
      </c>
      <c r="E9" s="51">
        <f t="shared" si="0"/>
        <v>143.51693163584267</v>
      </c>
    </row>
    <row r="10" spans="1:8" ht="15.75">
      <c r="A10" s="55">
        <v>1</v>
      </c>
      <c r="B10" s="56" t="s">
        <v>132</v>
      </c>
      <c r="C10" s="57">
        <v>7678</v>
      </c>
      <c r="D10" s="221">
        <f>SUM(D12:D23)</f>
        <v>11019.230011</v>
      </c>
      <c r="E10" s="65">
        <f t="shared" si="0"/>
        <v>143.51693163584267</v>
      </c>
    </row>
    <row r="11" spans="1:8" ht="15.75">
      <c r="A11" s="55"/>
      <c r="B11" s="58" t="s">
        <v>133</v>
      </c>
      <c r="C11" s="57"/>
      <c r="D11" s="221"/>
      <c r="E11" s="51"/>
    </row>
    <row r="12" spans="1:8" ht="15.75">
      <c r="A12" s="59" t="s">
        <v>134</v>
      </c>
      <c r="B12" s="60" t="s">
        <v>135</v>
      </c>
      <c r="C12" s="57"/>
      <c r="D12" s="221"/>
      <c r="E12" s="51"/>
    </row>
    <row r="13" spans="1:8" ht="15.75">
      <c r="A13" s="59" t="s">
        <v>136</v>
      </c>
      <c r="B13" s="60" t="s">
        <v>137</v>
      </c>
      <c r="C13" s="57"/>
      <c r="D13" s="221"/>
      <c r="E13" s="51"/>
    </row>
    <row r="14" spans="1:8" ht="15.75">
      <c r="A14" s="59" t="s">
        <v>138</v>
      </c>
      <c r="B14" s="60" t="s">
        <v>139</v>
      </c>
      <c r="C14" s="57"/>
      <c r="D14" s="216">
        <v>94.999116999999998</v>
      </c>
      <c r="E14" s="51"/>
    </row>
    <row r="15" spans="1:8" ht="15.75">
      <c r="A15" s="59" t="s">
        <v>140</v>
      </c>
      <c r="B15" s="60" t="s">
        <v>141</v>
      </c>
      <c r="C15" s="57"/>
      <c r="D15" s="221"/>
      <c r="E15" s="51"/>
    </row>
    <row r="16" spans="1:8" ht="15.75">
      <c r="A16" s="59" t="s">
        <v>142</v>
      </c>
      <c r="B16" s="60" t="s">
        <v>143</v>
      </c>
      <c r="C16" s="57"/>
      <c r="D16" s="221"/>
      <c r="E16" s="51"/>
    </row>
    <row r="17" spans="1:5" ht="15.75">
      <c r="A17" s="59" t="s">
        <v>144</v>
      </c>
      <c r="B17" s="60" t="s">
        <v>206</v>
      </c>
      <c r="C17" s="57"/>
      <c r="D17" s="216">
        <v>721.37699999999995</v>
      </c>
      <c r="E17" s="51"/>
    </row>
    <row r="18" spans="1:5" ht="15.75">
      <c r="A18" s="59" t="s">
        <v>145</v>
      </c>
      <c r="B18" s="60" t="s">
        <v>146</v>
      </c>
      <c r="C18" s="57"/>
      <c r="D18" s="221"/>
      <c r="E18" s="51"/>
    </row>
    <row r="19" spans="1:5" ht="15.75">
      <c r="A19" s="59" t="s">
        <v>147</v>
      </c>
      <c r="B19" s="60" t="s">
        <v>148</v>
      </c>
      <c r="C19" s="57"/>
      <c r="D19" s="216">
        <v>56.012999999999998</v>
      </c>
      <c r="E19" s="51"/>
    </row>
    <row r="20" spans="1:5" ht="15.75">
      <c r="A20" s="59" t="s">
        <v>149</v>
      </c>
      <c r="B20" s="60" t="s">
        <v>150</v>
      </c>
      <c r="C20" s="57"/>
      <c r="D20" s="221"/>
      <c r="E20" s="51"/>
    </row>
    <row r="21" spans="1:5" ht="15.75">
      <c r="A21" s="59" t="s">
        <v>151</v>
      </c>
      <c r="B21" s="60" t="s">
        <v>152</v>
      </c>
      <c r="C21" s="57">
        <v>7590</v>
      </c>
      <c r="D21" s="221">
        <v>7627.1091299999998</v>
      </c>
      <c r="E21" s="65">
        <f t="shared" si="0"/>
        <v>100.4889213438735</v>
      </c>
    </row>
    <row r="22" spans="1:5" ht="31.5">
      <c r="A22" s="59" t="s">
        <v>153</v>
      </c>
      <c r="B22" s="60" t="s">
        <v>154</v>
      </c>
      <c r="C22" s="57"/>
      <c r="D22" s="221">
        <v>2519.7317640000001</v>
      </c>
      <c r="E22" s="51"/>
    </row>
    <row r="23" spans="1:5" ht="15.75">
      <c r="A23" s="59" t="s">
        <v>155</v>
      </c>
      <c r="B23" s="60" t="s">
        <v>156</v>
      </c>
      <c r="C23" s="57"/>
      <c r="D23" s="221"/>
      <c r="E23" s="51"/>
    </row>
    <row r="24" spans="1:5" ht="15.75">
      <c r="A24" s="55"/>
      <c r="B24" s="58" t="s">
        <v>157</v>
      </c>
      <c r="C24" s="57"/>
      <c r="D24" s="221"/>
      <c r="E24" s="51"/>
    </row>
    <row r="25" spans="1:5" ht="15.75">
      <c r="A25" s="55" t="s">
        <v>28</v>
      </c>
      <c r="B25" s="58" t="s">
        <v>158</v>
      </c>
      <c r="C25" s="57"/>
      <c r="D25" s="216"/>
      <c r="E25" s="51"/>
    </row>
    <row r="26" spans="1:5" ht="15.75">
      <c r="A26" s="55" t="s">
        <v>28</v>
      </c>
      <c r="B26" s="58" t="s">
        <v>159</v>
      </c>
      <c r="C26" s="57"/>
      <c r="D26" s="216"/>
      <c r="E26" s="51"/>
    </row>
    <row r="27" spans="1:5" ht="63">
      <c r="A27" s="55">
        <v>2</v>
      </c>
      <c r="B27" s="56" t="s">
        <v>160</v>
      </c>
      <c r="C27" s="57"/>
      <c r="D27" s="221"/>
      <c r="E27" s="51"/>
    </row>
    <row r="28" spans="1:5" ht="15.75">
      <c r="A28" s="55">
        <v>3</v>
      </c>
      <c r="B28" s="56" t="s">
        <v>161</v>
      </c>
      <c r="C28" s="57"/>
      <c r="D28" s="221"/>
      <c r="E28" s="51"/>
    </row>
    <row r="29" spans="1:5" ht="15.75">
      <c r="A29" s="47" t="s">
        <v>31</v>
      </c>
      <c r="B29" s="49" t="s">
        <v>46</v>
      </c>
      <c r="C29" s="50">
        <v>287200</v>
      </c>
      <c r="D29" s="219">
        <v>283901.56848099997</v>
      </c>
      <c r="E29" s="51">
        <f t="shared" si="0"/>
        <v>98.851521058844</v>
      </c>
    </row>
    <row r="30" spans="1:5" ht="15.75">
      <c r="A30" s="61"/>
      <c r="B30" s="62" t="s">
        <v>162</v>
      </c>
      <c r="C30" s="63"/>
      <c r="D30" s="224"/>
      <c r="E30" s="51"/>
    </row>
    <row r="31" spans="1:5" ht="15.75">
      <c r="A31" s="61">
        <v>1</v>
      </c>
      <c r="B31" s="62" t="s">
        <v>163</v>
      </c>
      <c r="C31" s="64">
        <v>171568</v>
      </c>
      <c r="D31" s="217">
        <v>177770.00200099999</v>
      </c>
      <c r="E31" s="51">
        <f t="shared" si="0"/>
        <v>103.61489438648232</v>
      </c>
    </row>
    <row r="32" spans="1:5" ht="15.75">
      <c r="A32" s="61">
        <v>2</v>
      </c>
      <c r="B32" s="62" t="s">
        <v>164</v>
      </c>
      <c r="C32" s="63">
        <v>307.7</v>
      </c>
      <c r="D32" s="224">
        <v>279.12968000000001</v>
      </c>
      <c r="E32" s="51">
        <f t="shared" si="0"/>
        <v>90.714878128046806</v>
      </c>
    </row>
    <row r="33" spans="1:12" ht="31.5">
      <c r="A33" s="47" t="s">
        <v>35</v>
      </c>
      <c r="B33" s="49" t="s">
        <v>47</v>
      </c>
      <c r="C33" s="63"/>
      <c r="D33" s="224"/>
      <c r="E33" s="51"/>
    </row>
    <row r="34" spans="1:12" ht="15.75">
      <c r="A34" s="47" t="s">
        <v>37</v>
      </c>
      <c r="B34" s="49" t="s">
        <v>48</v>
      </c>
      <c r="C34" s="63"/>
      <c r="D34" s="224"/>
      <c r="E34" s="51"/>
    </row>
    <row r="35" spans="1:12" ht="15.75">
      <c r="A35" s="47" t="s">
        <v>39</v>
      </c>
      <c r="B35" s="49" t="s">
        <v>49</v>
      </c>
      <c r="C35" s="50">
        <v>6018</v>
      </c>
      <c r="D35" s="219">
        <v>6051.4980000000005</v>
      </c>
      <c r="E35" s="51">
        <f t="shared" si="0"/>
        <v>100.55663010967099</v>
      </c>
    </row>
    <row r="36" spans="1:12" s="67" customFormat="1" ht="15.75">
      <c r="A36" s="52" t="s">
        <v>23</v>
      </c>
      <c r="B36" s="53" t="s">
        <v>165</v>
      </c>
      <c r="C36" s="54">
        <f>C37+C54</f>
        <v>6188</v>
      </c>
      <c r="D36" s="220">
        <f>D37+D54</f>
        <v>103485.584455</v>
      </c>
      <c r="E36" s="51">
        <f t="shared" si="0"/>
        <v>1672.3591540885586</v>
      </c>
      <c r="G36" s="341"/>
      <c r="H36" s="341"/>
      <c r="I36" s="341"/>
      <c r="J36" s="341"/>
      <c r="K36" s="341"/>
      <c r="L36" s="341"/>
    </row>
    <row r="37" spans="1:12" s="67" customFormat="1" ht="15.75">
      <c r="A37" s="52" t="s">
        <v>3</v>
      </c>
      <c r="B37" s="53" t="s">
        <v>52</v>
      </c>
      <c r="C37" s="54"/>
      <c r="D37" s="220">
        <f>D38+D42</f>
        <v>78973.546455000003</v>
      </c>
      <c r="E37" s="51"/>
      <c r="G37" s="341"/>
      <c r="H37" s="341"/>
      <c r="I37" s="341"/>
      <c r="J37" s="341"/>
      <c r="K37" s="341"/>
      <c r="L37" s="341"/>
    </row>
    <row r="38" spans="1:12" s="67" customFormat="1" ht="15.75">
      <c r="A38" s="52" t="s">
        <v>166</v>
      </c>
      <c r="B38" s="53" t="s">
        <v>167</v>
      </c>
      <c r="C38" s="54">
        <f>C39+C40+C41</f>
        <v>0</v>
      </c>
      <c r="D38" s="220">
        <f>D39+D40+D41</f>
        <v>66926.838497999997</v>
      </c>
      <c r="E38" s="51"/>
      <c r="G38" s="341"/>
      <c r="H38" s="341"/>
      <c r="I38" s="341"/>
      <c r="J38" s="341"/>
      <c r="K38" s="341"/>
      <c r="L38" s="341"/>
    </row>
    <row r="39" spans="1:12" s="67" customFormat="1" ht="31.5">
      <c r="A39" s="55" t="s">
        <v>168</v>
      </c>
      <c r="B39" s="56" t="s">
        <v>414</v>
      </c>
      <c r="C39" s="57"/>
      <c r="D39" s="221">
        <v>38043.737800000003</v>
      </c>
      <c r="E39" s="51"/>
      <c r="G39" s="341"/>
      <c r="H39" s="341"/>
      <c r="I39" s="341"/>
      <c r="J39" s="341"/>
      <c r="K39" s="341"/>
      <c r="L39" s="341"/>
    </row>
    <row r="40" spans="1:12" s="67" customFormat="1" ht="31.5">
      <c r="A40" s="55" t="s">
        <v>172</v>
      </c>
      <c r="B40" s="56" t="s">
        <v>413</v>
      </c>
      <c r="C40" s="57"/>
      <c r="D40" s="221">
        <v>10049.431500000001</v>
      </c>
      <c r="E40" s="51"/>
      <c r="G40" s="341"/>
      <c r="H40" s="341"/>
      <c r="I40" s="341"/>
      <c r="J40" s="341"/>
      <c r="K40" s="341"/>
      <c r="L40" s="341"/>
    </row>
    <row r="41" spans="1:12" s="67" customFormat="1" ht="47.25">
      <c r="A41" s="55" t="s">
        <v>178</v>
      </c>
      <c r="B41" s="56" t="s">
        <v>412</v>
      </c>
      <c r="C41" s="57"/>
      <c r="D41" s="221">
        <v>18833.669198</v>
      </c>
      <c r="E41" s="51"/>
      <c r="G41" s="341"/>
      <c r="H41" s="341"/>
      <c r="I41" s="341"/>
      <c r="J41" s="341"/>
      <c r="K41" s="341"/>
      <c r="L41" s="341"/>
    </row>
    <row r="42" spans="1:12" s="67" customFormat="1" ht="15.75">
      <c r="A42" s="52" t="s">
        <v>174</v>
      </c>
      <c r="B42" s="53" t="s">
        <v>175</v>
      </c>
      <c r="C42" s="54">
        <f>C51+C52+C53</f>
        <v>0</v>
      </c>
      <c r="D42" s="220">
        <f t="shared" ref="D42" si="1">D51+D52+D53</f>
        <v>12046.707957000001</v>
      </c>
      <c r="E42" s="51"/>
      <c r="G42" s="341"/>
      <c r="H42" s="341"/>
      <c r="I42" s="341"/>
      <c r="J42" s="341"/>
      <c r="K42" s="341"/>
      <c r="L42" s="341"/>
    </row>
    <row r="43" spans="1:12" s="68" customFormat="1" ht="15.75" hidden="1">
      <c r="A43" s="69" t="s">
        <v>168</v>
      </c>
      <c r="B43" s="70" t="s">
        <v>169</v>
      </c>
      <c r="C43" s="66">
        <f>C44+C45+C46+C47</f>
        <v>0</v>
      </c>
      <c r="D43" s="222">
        <f>D44+D45+D46+D47</f>
        <v>0</v>
      </c>
      <c r="E43" s="51"/>
      <c r="G43" s="341"/>
      <c r="H43" s="341"/>
      <c r="I43" s="341"/>
      <c r="J43" s="341"/>
      <c r="K43" s="341"/>
      <c r="L43" s="341"/>
    </row>
    <row r="44" spans="1:12" s="68" customFormat="1" ht="15.75" hidden="1">
      <c r="A44" s="72" t="s">
        <v>28</v>
      </c>
      <c r="B44" s="70" t="s">
        <v>170</v>
      </c>
      <c r="C44" s="71"/>
      <c r="D44" s="223"/>
      <c r="E44" s="51"/>
      <c r="G44" s="341"/>
      <c r="H44" s="341"/>
      <c r="I44" s="341"/>
      <c r="J44" s="341"/>
      <c r="K44" s="341"/>
      <c r="L44" s="341"/>
    </row>
    <row r="45" spans="1:12" s="68" customFormat="1" ht="15.75" hidden="1">
      <c r="A45" s="72" t="s">
        <v>28</v>
      </c>
      <c r="B45" s="70" t="s">
        <v>171</v>
      </c>
      <c r="C45" s="71"/>
      <c r="D45" s="223"/>
      <c r="E45" s="51"/>
      <c r="G45" s="341"/>
      <c r="H45" s="341"/>
      <c r="I45" s="341"/>
      <c r="J45" s="341"/>
      <c r="K45" s="341"/>
      <c r="L45" s="341"/>
    </row>
    <row r="46" spans="1:12" s="68" customFormat="1" ht="15.75" hidden="1">
      <c r="A46" s="72" t="s">
        <v>28</v>
      </c>
      <c r="B46" s="70" t="s">
        <v>176</v>
      </c>
      <c r="C46" s="71"/>
      <c r="D46" s="223"/>
      <c r="E46" s="51"/>
      <c r="G46" s="341"/>
      <c r="H46" s="341"/>
      <c r="I46" s="341"/>
      <c r="J46" s="341"/>
      <c r="K46" s="341"/>
      <c r="L46" s="341"/>
    </row>
    <row r="47" spans="1:12" s="68" customFormat="1" ht="15.75" hidden="1">
      <c r="A47" s="72" t="s">
        <v>28</v>
      </c>
      <c r="B47" s="70" t="s">
        <v>177</v>
      </c>
      <c r="C47" s="71"/>
      <c r="D47" s="223"/>
      <c r="E47" s="51"/>
      <c r="G47" s="341"/>
      <c r="H47" s="341"/>
      <c r="I47" s="341"/>
      <c r="J47" s="341"/>
      <c r="K47" s="341"/>
      <c r="L47" s="341"/>
    </row>
    <row r="48" spans="1:12" s="68" customFormat="1" ht="15.75" hidden="1">
      <c r="A48" s="69" t="s">
        <v>172</v>
      </c>
      <c r="B48" s="70" t="s">
        <v>173</v>
      </c>
      <c r="C48" s="71"/>
      <c r="D48" s="223"/>
      <c r="E48" s="51"/>
      <c r="G48" s="341"/>
      <c r="H48" s="341"/>
      <c r="I48" s="341"/>
      <c r="J48" s="341"/>
      <c r="K48" s="341"/>
      <c r="L48" s="341"/>
    </row>
    <row r="49" spans="1:12" ht="31.5" hidden="1">
      <c r="A49" s="61" t="s">
        <v>178</v>
      </c>
      <c r="B49" s="73" t="s">
        <v>179</v>
      </c>
      <c r="C49" s="63"/>
      <c r="D49" s="224"/>
      <c r="E49" s="51"/>
    </row>
    <row r="50" spans="1:12" ht="15.75" hidden="1">
      <c r="A50" s="61" t="s">
        <v>180</v>
      </c>
      <c r="B50" s="73" t="s">
        <v>181</v>
      </c>
      <c r="C50" s="63"/>
      <c r="D50" s="224"/>
      <c r="E50" s="51"/>
    </row>
    <row r="51" spans="1:12" ht="31.5">
      <c r="A51" s="55" t="s">
        <v>168</v>
      </c>
      <c r="B51" s="56" t="s">
        <v>414</v>
      </c>
      <c r="C51" s="63"/>
      <c r="D51" s="224">
        <v>3452.8515000000002</v>
      </c>
      <c r="E51" s="51"/>
    </row>
    <row r="52" spans="1:12" ht="31.5">
      <c r="A52" s="55" t="s">
        <v>172</v>
      </c>
      <c r="B52" s="56" t="s">
        <v>413</v>
      </c>
      <c r="C52" s="63"/>
      <c r="D52" s="224">
        <v>1587.3837329999999</v>
      </c>
      <c r="E52" s="51"/>
    </row>
    <row r="53" spans="1:12" ht="47.25">
      <c r="A53" s="55" t="s">
        <v>178</v>
      </c>
      <c r="B53" s="56" t="s">
        <v>412</v>
      </c>
      <c r="C53" s="63"/>
      <c r="D53" s="224">
        <v>7006.4727240000002</v>
      </c>
      <c r="E53" s="51"/>
    </row>
    <row r="54" spans="1:12" ht="15.75">
      <c r="A54" s="47" t="s">
        <v>31</v>
      </c>
      <c r="B54" s="49" t="s">
        <v>182</v>
      </c>
      <c r="C54" s="50">
        <f>C55+C56</f>
        <v>6188</v>
      </c>
      <c r="D54" s="219">
        <f>D55+D56</f>
        <v>24512.038</v>
      </c>
      <c r="E54" s="51">
        <f t="shared" si="0"/>
        <v>396.12213962508082</v>
      </c>
    </row>
    <row r="55" spans="1:12" ht="15.75">
      <c r="A55" s="61">
        <v>1</v>
      </c>
      <c r="B55" s="139" t="s">
        <v>167</v>
      </c>
      <c r="C55" s="21">
        <v>5058</v>
      </c>
      <c r="D55" s="224">
        <v>4727.3603000000003</v>
      </c>
      <c r="E55" s="65">
        <f t="shared" si="0"/>
        <v>93.463034796362194</v>
      </c>
    </row>
    <row r="56" spans="1:12" ht="15.75">
      <c r="A56" s="61">
        <v>2</v>
      </c>
      <c r="B56" s="139" t="s">
        <v>175</v>
      </c>
      <c r="C56" s="21">
        <f>1010+120</f>
        <v>1130</v>
      </c>
      <c r="D56" s="224">
        <v>19784.6777</v>
      </c>
      <c r="E56" s="65">
        <f t="shared" si="0"/>
        <v>1750.8564336283187</v>
      </c>
    </row>
    <row r="57" spans="1:12" s="119" customFormat="1" ht="19.5" hidden="1" customHeight="1">
      <c r="A57" s="117">
        <v>1</v>
      </c>
      <c r="B57" s="118" t="s">
        <v>254</v>
      </c>
      <c r="C57" s="123">
        <f>SUM(C58:C84)</f>
        <v>19577</v>
      </c>
      <c r="D57" s="123">
        <f>SUM(D58:D84)</f>
        <v>19114.5576</v>
      </c>
      <c r="E57" s="51">
        <f t="shared" ref="E57:E110" si="2">D57/C57*100</f>
        <v>97.637828063543949</v>
      </c>
      <c r="G57" s="342"/>
      <c r="H57" s="342"/>
      <c r="I57" s="342"/>
      <c r="J57" s="342"/>
      <c r="K57" s="342"/>
      <c r="L57" s="342"/>
    </row>
    <row r="58" spans="1:12" ht="15.75" hidden="1">
      <c r="A58" s="88" t="s">
        <v>28</v>
      </c>
      <c r="B58" s="120" t="s">
        <v>304</v>
      </c>
      <c r="C58" s="160">
        <v>1800</v>
      </c>
      <c r="D58" s="124">
        <v>1788.8150000000001</v>
      </c>
      <c r="E58" s="51">
        <f t="shared" si="2"/>
        <v>99.378611111111113</v>
      </c>
    </row>
    <row r="59" spans="1:12" ht="15.75" hidden="1">
      <c r="A59" s="88" t="s">
        <v>28</v>
      </c>
      <c r="B59" s="120" t="s">
        <v>184</v>
      </c>
      <c r="C59" s="160">
        <v>500</v>
      </c>
      <c r="D59" s="124">
        <v>500</v>
      </c>
      <c r="E59" s="51">
        <f t="shared" si="2"/>
        <v>100</v>
      </c>
    </row>
    <row r="60" spans="1:12" ht="31.5" hidden="1">
      <c r="A60" s="88" t="s">
        <v>28</v>
      </c>
      <c r="B60" s="120" t="s">
        <v>305</v>
      </c>
      <c r="C60" s="160">
        <v>786</v>
      </c>
      <c r="D60" s="124">
        <v>786</v>
      </c>
      <c r="E60" s="51">
        <f t="shared" si="2"/>
        <v>100</v>
      </c>
    </row>
    <row r="61" spans="1:12" ht="31.5" hidden="1">
      <c r="A61" s="88" t="s">
        <v>28</v>
      </c>
      <c r="B61" s="120" t="s">
        <v>185</v>
      </c>
      <c r="C61" s="161">
        <v>61</v>
      </c>
      <c r="D61" s="124">
        <v>61</v>
      </c>
      <c r="E61" s="51">
        <f t="shared" si="2"/>
        <v>100</v>
      </c>
    </row>
    <row r="62" spans="1:12" ht="15.75" hidden="1">
      <c r="A62" s="88" t="s">
        <v>28</v>
      </c>
      <c r="B62" s="121" t="s">
        <v>186</v>
      </c>
      <c r="C62" s="122">
        <v>302</v>
      </c>
      <c r="D62" s="124">
        <v>206.8826</v>
      </c>
      <c r="E62" s="51">
        <f t="shared" si="2"/>
        <v>68.504172185430463</v>
      </c>
    </row>
    <row r="63" spans="1:12" ht="28.5" hidden="1" customHeight="1">
      <c r="A63" s="88" t="s">
        <v>28</v>
      </c>
      <c r="B63" s="121" t="s">
        <v>306</v>
      </c>
      <c r="C63" s="122">
        <v>400</v>
      </c>
      <c r="D63" s="124">
        <v>400</v>
      </c>
      <c r="E63" s="51">
        <f t="shared" si="2"/>
        <v>100</v>
      </c>
    </row>
    <row r="64" spans="1:12" ht="31.5" hidden="1">
      <c r="A64" s="88" t="s">
        <v>28</v>
      </c>
      <c r="B64" s="121" t="s">
        <v>187</v>
      </c>
      <c r="C64" s="122">
        <v>1690</v>
      </c>
      <c r="D64" s="124">
        <v>1690</v>
      </c>
      <c r="E64" s="51">
        <f t="shared" si="2"/>
        <v>100</v>
      </c>
    </row>
    <row r="65" spans="1:5" ht="27.6" hidden="1" customHeight="1">
      <c r="A65" s="88" t="s">
        <v>28</v>
      </c>
      <c r="B65" s="121" t="s">
        <v>307</v>
      </c>
      <c r="C65" s="162">
        <v>477</v>
      </c>
      <c r="D65" s="124">
        <v>477</v>
      </c>
      <c r="E65" s="51">
        <f t="shared" si="2"/>
        <v>100</v>
      </c>
    </row>
    <row r="66" spans="1:5" ht="19.5" hidden="1" customHeight="1">
      <c r="A66" s="88" t="s">
        <v>28</v>
      </c>
      <c r="B66" s="120" t="s">
        <v>308</v>
      </c>
      <c r="C66" s="162">
        <v>1326</v>
      </c>
      <c r="D66" s="124">
        <v>1326</v>
      </c>
      <c r="E66" s="51">
        <f t="shared" si="2"/>
        <v>100</v>
      </c>
    </row>
    <row r="67" spans="1:5" ht="47.25" hidden="1">
      <c r="A67" s="88" t="s">
        <v>28</v>
      </c>
      <c r="B67" s="120" t="s">
        <v>322</v>
      </c>
      <c r="C67" s="162">
        <v>141</v>
      </c>
      <c r="D67" s="124">
        <v>98.759999999999991</v>
      </c>
      <c r="E67" s="51">
        <f t="shared" si="2"/>
        <v>70.042553191489361</v>
      </c>
    </row>
    <row r="68" spans="1:5" ht="47.25" hidden="1">
      <c r="A68" s="88" t="s">
        <v>28</v>
      </c>
      <c r="B68" s="121" t="s">
        <v>323</v>
      </c>
      <c r="C68" s="162">
        <v>82</v>
      </c>
      <c r="D68" s="124">
        <v>58.7</v>
      </c>
      <c r="E68" s="51">
        <f t="shared" si="2"/>
        <v>71.585365853658544</v>
      </c>
    </row>
    <row r="69" spans="1:5" ht="31.5" hidden="1">
      <c r="A69" s="88" t="s">
        <v>28</v>
      </c>
      <c r="B69" s="121" t="s">
        <v>188</v>
      </c>
      <c r="C69" s="162">
        <v>285</v>
      </c>
      <c r="D69" s="124">
        <v>285</v>
      </c>
      <c r="E69" s="51">
        <f t="shared" si="2"/>
        <v>100</v>
      </c>
    </row>
    <row r="70" spans="1:5" ht="15.75" hidden="1">
      <c r="A70" s="88" t="s">
        <v>28</v>
      </c>
      <c r="B70" s="120" t="s">
        <v>309</v>
      </c>
      <c r="C70" s="122">
        <v>1100</v>
      </c>
      <c r="D70" s="124">
        <v>1100</v>
      </c>
      <c r="E70" s="51">
        <f t="shared" si="2"/>
        <v>100</v>
      </c>
    </row>
    <row r="71" spans="1:5" ht="31.5" hidden="1">
      <c r="A71" s="88" t="s">
        <v>28</v>
      </c>
      <c r="B71" s="120" t="s">
        <v>310</v>
      </c>
      <c r="C71" s="122">
        <v>81</v>
      </c>
      <c r="D71" s="124">
        <v>81</v>
      </c>
      <c r="E71" s="51">
        <f t="shared" si="2"/>
        <v>100</v>
      </c>
    </row>
    <row r="72" spans="1:5" ht="15.75" hidden="1">
      <c r="A72" s="88" t="s">
        <v>28</v>
      </c>
      <c r="B72" s="120" t="s">
        <v>311</v>
      </c>
      <c r="C72" s="122">
        <v>-9</v>
      </c>
      <c r="D72" s="124">
        <v>-9</v>
      </c>
      <c r="E72" s="51">
        <f t="shared" si="2"/>
        <v>100</v>
      </c>
    </row>
    <row r="73" spans="1:5" ht="15.75" hidden="1">
      <c r="A73" s="88" t="s">
        <v>28</v>
      </c>
      <c r="B73" s="120" t="s">
        <v>312</v>
      </c>
      <c r="C73" s="122">
        <v>149</v>
      </c>
      <c r="D73" s="124">
        <v>149</v>
      </c>
      <c r="E73" s="51">
        <f t="shared" si="2"/>
        <v>100</v>
      </c>
    </row>
    <row r="74" spans="1:5" ht="31.5" hidden="1">
      <c r="A74" s="88" t="s">
        <v>28</v>
      </c>
      <c r="B74" s="120" t="s">
        <v>313</v>
      </c>
      <c r="C74" s="122">
        <v>2800</v>
      </c>
      <c r="D74" s="124">
        <v>2800</v>
      </c>
      <c r="E74" s="51">
        <f t="shared" si="2"/>
        <v>100</v>
      </c>
    </row>
    <row r="75" spans="1:5" ht="31.5" hidden="1">
      <c r="A75" s="88" t="s">
        <v>28</v>
      </c>
      <c r="B75" s="120" t="s">
        <v>314</v>
      </c>
      <c r="C75" s="122">
        <v>100</v>
      </c>
      <c r="D75" s="102">
        <v>100</v>
      </c>
      <c r="E75" s="51">
        <f t="shared" si="2"/>
        <v>100</v>
      </c>
    </row>
    <row r="76" spans="1:5" ht="15.75" hidden="1">
      <c r="A76" s="88" t="s">
        <v>28</v>
      </c>
      <c r="B76" s="120" t="s">
        <v>315</v>
      </c>
      <c r="C76" s="122">
        <v>800</v>
      </c>
      <c r="D76" s="102">
        <v>800</v>
      </c>
      <c r="E76" s="51">
        <f t="shared" si="2"/>
        <v>100</v>
      </c>
    </row>
    <row r="77" spans="1:5" ht="31.5" hidden="1">
      <c r="A77" s="88" t="s">
        <v>28</v>
      </c>
      <c r="B77" s="120" t="s">
        <v>316</v>
      </c>
      <c r="C77" s="122">
        <v>2728</v>
      </c>
      <c r="D77" s="102">
        <v>2564.4120000000003</v>
      </c>
      <c r="E77" s="51">
        <f t="shared" si="2"/>
        <v>94.003372434017606</v>
      </c>
    </row>
    <row r="78" spans="1:5" ht="31.5" hidden="1">
      <c r="A78" s="88" t="s">
        <v>28</v>
      </c>
      <c r="B78" s="120" t="s">
        <v>317</v>
      </c>
      <c r="C78" s="122">
        <v>1890</v>
      </c>
      <c r="D78" s="102">
        <v>1890</v>
      </c>
      <c r="E78" s="51">
        <f t="shared" si="2"/>
        <v>100</v>
      </c>
    </row>
    <row r="79" spans="1:5" ht="15.75" hidden="1">
      <c r="A79" s="88" t="s">
        <v>28</v>
      </c>
      <c r="B79" s="120" t="s">
        <v>308</v>
      </c>
      <c r="C79" s="122">
        <v>300</v>
      </c>
      <c r="D79" s="102">
        <v>300</v>
      </c>
      <c r="E79" s="51">
        <f t="shared" si="2"/>
        <v>100</v>
      </c>
    </row>
    <row r="80" spans="1:5" ht="31.5" hidden="1">
      <c r="A80" s="88" t="s">
        <v>28</v>
      </c>
      <c r="B80" s="120" t="s">
        <v>318</v>
      </c>
      <c r="C80" s="122">
        <v>52</v>
      </c>
      <c r="D80" s="102">
        <v>3.2180000000000035</v>
      </c>
      <c r="E80" s="51">
        <f t="shared" si="2"/>
        <v>6.1884615384615458</v>
      </c>
    </row>
    <row r="81" spans="1:12" ht="31.5" hidden="1">
      <c r="A81" s="88" t="s">
        <v>28</v>
      </c>
      <c r="B81" s="120" t="s">
        <v>183</v>
      </c>
      <c r="C81" s="122">
        <v>520</v>
      </c>
      <c r="D81" s="102">
        <v>520</v>
      </c>
      <c r="E81" s="51">
        <f t="shared" si="2"/>
        <v>100</v>
      </c>
    </row>
    <row r="82" spans="1:12" ht="15.75" hidden="1">
      <c r="A82" s="88" t="s">
        <v>28</v>
      </c>
      <c r="B82" s="120" t="s">
        <v>319</v>
      </c>
      <c r="C82" s="122">
        <v>1084</v>
      </c>
      <c r="D82" s="102">
        <v>1005.77</v>
      </c>
      <c r="E82" s="51">
        <f t="shared" si="2"/>
        <v>92.783210332103323</v>
      </c>
    </row>
    <row r="83" spans="1:12" ht="31.5" hidden="1">
      <c r="A83" s="88" t="s">
        <v>28</v>
      </c>
      <c r="B83" s="120" t="s">
        <v>320</v>
      </c>
      <c r="C83" s="122">
        <v>42</v>
      </c>
      <c r="D83" s="102">
        <v>42</v>
      </c>
      <c r="E83" s="51">
        <f t="shared" si="2"/>
        <v>100</v>
      </c>
    </row>
    <row r="84" spans="1:12" ht="31.5" hidden="1">
      <c r="A84" s="88" t="s">
        <v>28</v>
      </c>
      <c r="B84" s="120" t="s">
        <v>321</v>
      </c>
      <c r="C84" s="122">
        <v>90</v>
      </c>
      <c r="D84" s="102">
        <v>90</v>
      </c>
      <c r="E84" s="51">
        <f t="shared" si="2"/>
        <v>100</v>
      </c>
    </row>
    <row r="85" spans="1:12" s="119" customFormat="1" ht="15.75" hidden="1">
      <c r="A85" s="117">
        <v>2</v>
      </c>
      <c r="B85" s="118" t="s">
        <v>303</v>
      </c>
      <c r="C85" s="163">
        <f>SUM(C86:C110)</f>
        <v>16825.281000000003</v>
      </c>
      <c r="D85" s="163">
        <f>SUM(D86:D110)</f>
        <v>16745.281000000003</v>
      </c>
      <c r="E85" s="51">
        <f t="shared" si="2"/>
        <v>99.524525028735027</v>
      </c>
      <c r="G85" s="342"/>
      <c r="H85" s="342"/>
      <c r="I85" s="342"/>
      <c r="J85" s="342"/>
      <c r="K85" s="342"/>
      <c r="L85" s="342"/>
    </row>
    <row r="86" spans="1:12" ht="47.25" hidden="1">
      <c r="A86" s="88" t="s">
        <v>28</v>
      </c>
      <c r="B86" s="74" t="s">
        <v>278</v>
      </c>
      <c r="C86" s="102">
        <f>902+57</f>
        <v>959</v>
      </c>
      <c r="D86" s="102">
        <v>902</v>
      </c>
      <c r="E86" s="51">
        <f t="shared" si="2"/>
        <v>94.056308654848792</v>
      </c>
    </row>
    <row r="87" spans="1:12" ht="31.5" hidden="1">
      <c r="A87" s="88" t="s">
        <v>28</v>
      </c>
      <c r="B87" s="74" t="s">
        <v>279</v>
      </c>
      <c r="C87" s="102">
        <v>210.54999999999998</v>
      </c>
      <c r="D87" s="102">
        <v>210.54999999999998</v>
      </c>
      <c r="E87" s="51">
        <f t="shared" si="2"/>
        <v>100</v>
      </c>
    </row>
    <row r="88" spans="1:12" ht="47.25" hidden="1">
      <c r="A88" s="88" t="s">
        <v>28</v>
      </c>
      <c r="B88" s="74" t="s">
        <v>280</v>
      </c>
      <c r="C88" s="102">
        <v>770</v>
      </c>
      <c r="D88" s="102">
        <v>770</v>
      </c>
      <c r="E88" s="51">
        <f t="shared" si="2"/>
        <v>100</v>
      </c>
    </row>
    <row r="89" spans="1:12" ht="31.5" hidden="1">
      <c r="A89" s="88" t="s">
        <v>28</v>
      </c>
      <c r="B89" s="74" t="s">
        <v>281</v>
      </c>
      <c r="C89" s="102">
        <v>117.19199999999999</v>
      </c>
      <c r="D89" s="102">
        <v>117.19199999999999</v>
      </c>
      <c r="E89" s="51">
        <f t="shared" si="2"/>
        <v>100</v>
      </c>
    </row>
    <row r="90" spans="1:12" ht="15.75" hidden="1">
      <c r="A90" s="88" t="s">
        <v>28</v>
      </c>
      <c r="B90" s="74" t="s">
        <v>282</v>
      </c>
      <c r="C90" s="102">
        <v>400</v>
      </c>
      <c r="D90" s="102">
        <v>400</v>
      </c>
      <c r="E90" s="51">
        <f t="shared" si="2"/>
        <v>100</v>
      </c>
    </row>
    <row r="91" spans="1:12" ht="47.25" hidden="1">
      <c r="A91" s="88" t="s">
        <v>28</v>
      </c>
      <c r="B91" s="74" t="s">
        <v>283</v>
      </c>
      <c r="C91" s="102">
        <v>585.79999999999995</v>
      </c>
      <c r="D91" s="102">
        <v>585.79999999999995</v>
      </c>
      <c r="E91" s="51">
        <f t="shared" si="2"/>
        <v>100</v>
      </c>
    </row>
    <row r="92" spans="1:12" ht="31.5" hidden="1">
      <c r="A92" s="88" t="s">
        <v>28</v>
      </c>
      <c r="B92" s="74" t="s">
        <v>284</v>
      </c>
      <c r="C92" s="102">
        <v>18</v>
      </c>
      <c r="D92" s="164">
        <v>0</v>
      </c>
      <c r="E92" s="51">
        <f t="shared" si="2"/>
        <v>0</v>
      </c>
    </row>
    <row r="93" spans="1:12" ht="47.25" hidden="1">
      <c r="A93" s="88" t="s">
        <v>28</v>
      </c>
      <c r="B93" s="74" t="s">
        <v>285</v>
      </c>
      <c r="C93" s="102">
        <v>400</v>
      </c>
      <c r="D93" s="102">
        <v>400</v>
      </c>
      <c r="E93" s="51">
        <f t="shared" si="2"/>
        <v>100</v>
      </c>
    </row>
    <row r="94" spans="1:12" ht="31.5" hidden="1">
      <c r="A94" s="88" t="s">
        <v>28</v>
      </c>
      <c r="B94" s="74" t="s">
        <v>286</v>
      </c>
      <c r="C94" s="102">
        <v>494.98500000000001</v>
      </c>
      <c r="D94" s="102">
        <v>494.98500000000001</v>
      </c>
      <c r="E94" s="51">
        <f t="shared" si="2"/>
        <v>100</v>
      </c>
    </row>
    <row r="95" spans="1:12" ht="31.5" hidden="1">
      <c r="A95" s="88" t="s">
        <v>28</v>
      </c>
      <c r="B95" s="74" t="s">
        <v>287</v>
      </c>
      <c r="C95" s="102">
        <v>22</v>
      </c>
      <c r="D95" s="102">
        <v>22</v>
      </c>
      <c r="E95" s="51">
        <f t="shared" si="2"/>
        <v>100</v>
      </c>
    </row>
    <row r="96" spans="1:12" ht="15.75" hidden="1">
      <c r="A96" s="88" t="s">
        <v>28</v>
      </c>
      <c r="B96" s="74" t="s">
        <v>288</v>
      </c>
      <c r="C96" s="102">
        <v>500</v>
      </c>
      <c r="D96" s="102">
        <v>500</v>
      </c>
      <c r="E96" s="51">
        <f t="shared" si="2"/>
        <v>100</v>
      </c>
    </row>
    <row r="97" spans="1:5" ht="15.75" hidden="1">
      <c r="A97" s="88" t="s">
        <v>28</v>
      </c>
      <c r="B97" s="74" t="s">
        <v>289</v>
      </c>
      <c r="C97" s="102">
        <v>255</v>
      </c>
      <c r="D97" s="102">
        <v>255</v>
      </c>
      <c r="E97" s="51">
        <f t="shared" si="2"/>
        <v>100</v>
      </c>
    </row>
    <row r="98" spans="1:5" ht="15.75" hidden="1">
      <c r="A98" s="88" t="s">
        <v>28</v>
      </c>
      <c r="B98" s="74" t="s">
        <v>290</v>
      </c>
      <c r="C98" s="102">
        <v>315</v>
      </c>
      <c r="D98" s="102">
        <v>315</v>
      </c>
      <c r="E98" s="51">
        <f t="shared" si="2"/>
        <v>100</v>
      </c>
    </row>
    <row r="99" spans="1:5" ht="31.5" hidden="1">
      <c r="A99" s="88" t="s">
        <v>28</v>
      </c>
      <c r="B99" s="74" t="s">
        <v>291</v>
      </c>
      <c r="C99" s="102">
        <v>454</v>
      </c>
      <c r="D99" s="102">
        <v>454</v>
      </c>
      <c r="E99" s="51">
        <f t="shared" si="2"/>
        <v>100</v>
      </c>
    </row>
    <row r="100" spans="1:5" ht="15.75" hidden="1">
      <c r="A100" s="88" t="s">
        <v>28</v>
      </c>
      <c r="B100" s="74" t="s">
        <v>292</v>
      </c>
      <c r="C100" s="102">
        <v>1670</v>
      </c>
      <c r="D100" s="102">
        <v>1670</v>
      </c>
      <c r="E100" s="51">
        <f t="shared" si="2"/>
        <v>100</v>
      </c>
    </row>
    <row r="101" spans="1:5" ht="15.75" hidden="1">
      <c r="A101" s="88" t="s">
        <v>28</v>
      </c>
      <c r="B101" s="74" t="s">
        <v>293</v>
      </c>
      <c r="C101" s="102">
        <v>6261</v>
      </c>
      <c r="D101" s="102">
        <v>6261</v>
      </c>
      <c r="E101" s="51">
        <f t="shared" si="2"/>
        <v>100</v>
      </c>
    </row>
    <row r="102" spans="1:5" ht="15.75" hidden="1">
      <c r="A102" s="88" t="s">
        <v>28</v>
      </c>
      <c r="B102" s="74" t="s">
        <v>294</v>
      </c>
      <c r="C102" s="102">
        <v>72.754000000000005</v>
      </c>
      <c r="D102" s="102">
        <v>72.754000000000005</v>
      </c>
      <c r="E102" s="51">
        <f t="shared" si="2"/>
        <v>100</v>
      </c>
    </row>
    <row r="103" spans="1:5" ht="15.75" hidden="1">
      <c r="A103" s="88" t="s">
        <v>28</v>
      </c>
      <c r="B103" s="74" t="s">
        <v>295</v>
      </c>
      <c r="C103" s="102">
        <v>475</v>
      </c>
      <c r="D103" s="102">
        <v>470</v>
      </c>
      <c r="E103" s="51">
        <f t="shared" si="2"/>
        <v>98.94736842105263</v>
      </c>
    </row>
    <row r="104" spans="1:5" ht="15.75" hidden="1">
      <c r="A104" s="88" t="s">
        <v>28</v>
      </c>
      <c r="B104" s="74" t="s">
        <v>296</v>
      </c>
      <c r="C104" s="102">
        <v>950</v>
      </c>
      <c r="D104" s="102">
        <v>950</v>
      </c>
      <c r="E104" s="51">
        <f t="shared" si="2"/>
        <v>100</v>
      </c>
    </row>
    <row r="105" spans="1:5" ht="47.25" hidden="1">
      <c r="A105" s="88" t="s">
        <v>28</v>
      </c>
      <c r="B105" s="74" t="s">
        <v>297</v>
      </c>
      <c r="C105" s="102">
        <v>322</v>
      </c>
      <c r="D105" s="102">
        <v>322</v>
      </c>
      <c r="E105" s="51">
        <f t="shared" si="2"/>
        <v>100</v>
      </c>
    </row>
    <row r="106" spans="1:5" ht="15.75" hidden="1">
      <c r="A106" s="88" t="s">
        <v>28</v>
      </c>
      <c r="B106" s="74" t="s">
        <v>298</v>
      </c>
      <c r="C106" s="102">
        <v>978</v>
      </c>
      <c r="D106" s="102">
        <v>978</v>
      </c>
      <c r="E106" s="51">
        <f t="shared" si="2"/>
        <v>100</v>
      </c>
    </row>
    <row r="107" spans="1:5" ht="31.5" hidden="1">
      <c r="A107" s="88" t="s">
        <v>28</v>
      </c>
      <c r="B107" s="74" t="s">
        <v>299</v>
      </c>
      <c r="C107" s="102">
        <v>447</v>
      </c>
      <c r="D107" s="102">
        <v>447</v>
      </c>
      <c r="E107" s="51">
        <f t="shared" si="2"/>
        <v>100</v>
      </c>
    </row>
    <row r="108" spans="1:5" ht="31.5" hidden="1">
      <c r="A108" s="88" t="s">
        <v>28</v>
      </c>
      <c r="B108" s="74" t="s">
        <v>300</v>
      </c>
      <c r="C108" s="102">
        <v>92</v>
      </c>
      <c r="D108" s="102">
        <v>92</v>
      </c>
      <c r="E108" s="51">
        <f t="shared" si="2"/>
        <v>100</v>
      </c>
    </row>
    <row r="109" spans="1:5" ht="15.75" hidden="1">
      <c r="A109" s="88" t="s">
        <v>28</v>
      </c>
      <c r="B109" s="74" t="s">
        <v>301</v>
      </c>
      <c r="C109" s="102">
        <v>13</v>
      </c>
      <c r="D109" s="102">
        <v>13</v>
      </c>
      <c r="E109" s="51">
        <f t="shared" si="2"/>
        <v>100</v>
      </c>
    </row>
    <row r="110" spans="1:5" ht="15.75" hidden="1">
      <c r="A110" s="88" t="s">
        <v>28</v>
      </c>
      <c r="B110" s="74" t="s">
        <v>302</v>
      </c>
      <c r="C110" s="102">
        <v>43</v>
      </c>
      <c r="D110" s="102">
        <v>43</v>
      </c>
      <c r="E110" s="51">
        <f t="shared" si="2"/>
        <v>100</v>
      </c>
    </row>
    <row r="111" spans="1:5" ht="15.75">
      <c r="A111" s="77" t="s">
        <v>56</v>
      </c>
      <c r="B111" s="78" t="s">
        <v>189</v>
      </c>
      <c r="C111" s="79"/>
      <c r="D111" s="218">
        <v>999.88757699999996</v>
      </c>
      <c r="E111" s="76"/>
    </row>
    <row r="112" spans="1:5" ht="15.75">
      <c r="A112" s="77" t="s">
        <v>58</v>
      </c>
      <c r="B112" s="78" t="s">
        <v>190</v>
      </c>
      <c r="C112" s="75"/>
      <c r="D112" s="218">
        <v>134562.70705299999</v>
      </c>
      <c r="E112" s="76"/>
    </row>
    <row r="113" spans="1:5" ht="60" customHeight="1">
      <c r="A113" s="365" t="s">
        <v>191</v>
      </c>
      <c r="B113" s="365"/>
      <c r="C113" s="365"/>
      <c r="D113" s="365"/>
      <c r="E113" s="365"/>
    </row>
  </sheetData>
  <mergeCells count="4">
    <mergeCell ref="A2:E2"/>
    <mergeCell ref="A3:E3"/>
    <mergeCell ref="A113:E113"/>
    <mergeCell ref="A1:B1"/>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0"/>
  <sheetViews>
    <sheetView topLeftCell="A28" workbookViewId="0">
      <selection activeCell="F8" sqref="F8"/>
    </sheetView>
  </sheetViews>
  <sheetFormatPr defaultColWidth="8.85546875" defaultRowHeight="15"/>
  <cols>
    <col min="1" max="1" width="6.140625" style="3" customWidth="1"/>
    <col min="2" max="2" width="47.85546875" style="3" customWidth="1"/>
    <col min="3" max="3" width="13.85546875" style="80" customWidth="1"/>
    <col min="4" max="4" width="14.5703125" style="80" customWidth="1"/>
    <col min="5" max="5" width="14.42578125" style="80" bestFit="1" customWidth="1"/>
    <col min="6" max="6" width="13.28515625" style="80" customWidth="1"/>
    <col min="7" max="242" width="8.85546875" style="3"/>
    <col min="243" max="243" width="6.140625" style="3" customWidth="1"/>
    <col min="244" max="244" width="47.85546875" style="3" customWidth="1"/>
    <col min="245" max="245" width="13.85546875" style="3" customWidth="1"/>
    <col min="246" max="246" width="14.5703125" style="3" customWidth="1"/>
    <col min="247" max="247" width="13.140625" style="3" bestFit="1" customWidth="1"/>
    <col min="248" max="248" width="13.28515625" style="3" customWidth="1"/>
    <col min="249" max="249" width="14.140625" style="3" customWidth="1"/>
    <col min="250" max="250" width="13" style="3" customWidth="1"/>
    <col min="251" max="498" width="8.85546875" style="3"/>
    <col min="499" max="499" width="6.140625" style="3" customWidth="1"/>
    <col min="500" max="500" width="47.85546875" style="3" customWidth="1"/>
    <col min="501" max="501" width="13.85546875" style="3" customWidth="1"/>
    <col min="502" max="502" width="14.5703125" style="3" customWidth="1"/>
    <col min="503" max="503" width="13.140625" style="3" bestFit="1" customWidth="1"/>
    <col min="504" max="504" width="13.28515625" style="3" customWidth="1"/>
    <col min="505" max="505" width="14.140625" style="3" customWidth="1"/>
    <col min="506" max="506" width="13" style="3" customWidth="1"/>
    <col min="507" max="754" width="8.85546875" style="3"/>
    <col min="755" max="755" width="6.140625" style="3" customWidth="1"/>
    <col min="756" max="756" width="47.85546875" style="3" customWidth="1"/>
    <col min="757" max="757" width="13.85546875" style="3" customWidth="1"/>
    <col min="758" max="758" width="14.5703125" style="3" customWidth="1"/>
    <col min="759" max="759" width="13.140625" style="3" bestFit="1" customWidth="1"/>
    <col min="760" max="760" width="13.28515625" style="3" customWidth="1"/>
    <col min="761" max="761" width="14.140625" style="3" customWidth="1"/>
    <col min="762" max="762" width="13" style="3" customWidth="1"/>
    <col min="763" max="1010" width="8.85546875" style="3"/>
    <col min="1011" max="1011" width="6.140625" style="3" customWidth="1"/>
    <col min="1012" max="1012" width="47.85546875" style="3" customWidth="1"/>
    <col min="1013" max="1013" width="13.85546875" style="3" customWidth="1"/>
    <col min="1014" max="1014" width="14.5703125" style="3" customWidth="1"/>
    <col min="1015" max="1015" width="13.140625" style="3" bestFit="1" customWidth="1"/>
    <col min="1016" max="1016" width="13.28515625" style="3" customWidth="1"/>
    <col min="1017" max="1017" width="14.140625" style="3" customWidth="1"/>
    <col min="1018" max="1018" width="13" style="3" customWidth="1"/>
    <col min="1019" max="1266" width="8.85546875" style="3"/>
    <col min="1267" max="1267" width="6.140625" style="3" customWidth="1"/>
    <col min="1268" max="1268" width="47.85546875" style="3" customWidth="1"/>
    <col min="1269" max="1269" width="13.85546875" style="3" customWidth="1"/>
    <col min="1270" max="1270" width="14.5703125" style="3" customWidth="1"/>
    <col min="1271" max="1271" width="13.140625" style="3" bestFit="1" customWidth="1"/>
    <col min="1272" max="1272" width="13.28515625" style="3" customWidth="1"/>
    <col min="1273" max="1273" width="14.140625" style="3" customWidth="1"/>
    <col min="1274" max="1274" width="13" style="3" customWidth="1"/>
    <col min="1275" max="1522" width="8.85546875" style="3"/>
    <col min="1523" max="1523" width="6.140625" style="3" customWidth="1"/>
    <col min="1524" max="1524" width="47.85546875" style="3" customWidth="1"/>
    <col min="1525" max="1525" width="13.85546875" style="3" customWidth="1"/>
    <col min="1526" max="1526" width="14.5703125" style="3" customWidth="1"/>
    <col min="1527" max="1527" width="13.140625" style="3" bestFit="1" customWidth="1"/>
    <col min="1528" max="1528" width="13.28515625" style="3" customWidth="1"/>
    <col min="1529" max="1529" width="14.140625" style="3" customWidth="1"/>
    <col min="1530" max="1530" width="13" style="3" customWidth="1"/>
    <col min="1531" max="1778" width="8.85546875" style="3"/>
    <col min="1779" max="1779" width="6.140625" style="3" customWidth="1"/>
    <col min="1780" max="1780" width="47.85546875" style="3" customWidth="1"/>
    <col min="1781" max="1781" width="13.85546875" style="3" customWidth="1"/>
    <col min="1782" max="1782" width="14.5703125" style="3" customWidth="1"/>
    <col min="1783" max="1783" width="13.140625" style="3" bestFit="1" customWidth="1"/>
    <col min="1784" max="1784" width="13.28515625" style="3" customWidth="1"/>
    <col min="1785" max="1785" width="14.140625" style="3" customWidth="1"/>
    <col min="1786" max="1786" width="13" style="3" customWidth="1"/>
    <col min="1787" max="2034" width="8.85546875" style="3"/>
    <col min="2035" max="2035" width="6.140625" style="3" customWidth="1"/>
    <col min="2036" max="2036" width="47.85546875" style="3" customWidth="1"/>
    <col min="2037" max="2037" width="13.85546875" style="3" customWidth="1"/>
    <col min="2038" max="2038" width="14.5703125" style="3" customWidth="1"/>
    <col min="2039" max="2039" width="13.140625" style="3" bestFit="1" customWidth="1"/>
    <col min="2040" max="2040" width="13.28515625" style="3" customWidth="1"/>
    <col min="2041" max="2041" width="14.140625" style="3" customWidth="1"/>
    <col min="2042" max="2042" width="13" style="3" customWidth="1"/>
    <col min="2043" max="2290" width="8.85546875" style="3"/>
    <col min="2291" max="2291" width="6.140625" style="3" customWidth="1"/>
    <col min="2292" max="2292" width="47.85546875" style="3" customWidth="1"/>
    <col min="2293" max="2293" width="13.85546875" style="3" customWidth="1"/>
    <col min="2294" max="2294" width="14.5703125" style="3" customWidth="1"/>
    <col min="2295" max="2295" width="13.140625" style="3" bestFit="1" customWidth="1"/>
    <col min="2296" max="2296" width="13.28515625" style="3" customWidth="1"/>
    <col min="2297" max="2297" width="14.140625" style="3" customWidth="1"/>
    <col min="2298" max="2298" width="13" style="3" customWidth="1"/>
    <col min="2299" max="2546" width="8.85546875" style="3"/>
    <col min="2547" max="2547" width="6.140625" style="3" customWidth="1"/>
    <col min="2548" max="2548" width="47.85546875" style="3" customWidth="1"/>
    <col min="2549" max="2549" width="13.85546875" style="3" customWidth="1"/>
    <col min="2550" max="2550" width="14.5703125" style="3" customWidth="1"/>
    <col min="2551" max="2551" width="13.140625" style="3" bestFit="1" customWidth="1"/>
    <col min="2552" max="2552" width="13.28515625" style="3" customWidth="1"/>
    <col min="2553" max="2553" width="14.140625" style="3" customWidth="1"/>
    <col min="2554" max="2554" width="13" style="3" customWidth="1"/>
    <col min="2555" max="2802" width="8.85546875" style="3"/>
    <col min="2803" max="2803" width="6.140625" style="3" customWidth="1"/>
    <col min="2804" max="2804" width="47.85546875" style="3" customWidth="1"/>
    <col min="2805" max="2805" width="13.85546875" style="3" customWidth="1"/>
    <col min="2806" max="2806" width="14.5703125" style="3" customWidth="1"/>
    <col min="2807" max="2807" width="13.140625" style="3" bestFit="1" customWidth="1"/>
    <col min="2808" max="2808" width="13.28515625" style="3" customWidth="1"/>
    <col min="2809" max="2809" width="14.140625" style="3" customWidth="1"/>
    <col min="2810" max="2810" width="13" style="3" customWidth="1"/>
    <col min="2811" max="3058" width="8.85546875" style="3"/>
    <col min="3059" max="3059" width="6.140625" style="3" customWidth="1"/>
    <col min="3060" max="3060" width="47.85546875" style="3" customWidth="1"/>
    <col min="3061" max="3061" width="13.85546875" style="3" customWidth="1"/>
    <col min="3062" max="3062" width="14.5703125" style="3" customWidth="1"/>
    <col min="3063" max="3063" width="13.140625" style="3" bestFit="1" customWidth="1"/>
    <col min="3064" max="3064" width="13.28515625" style="3" customWidth="1"/>
    <col min="3065" max="3065" width="14.140625" style="3" customWidth="1"/>
    <col min="3066" max="3066" width="13" style="3" customWidth="1"/>
    <col min="3067" max="3314" width="8.85546875" style="3"/>
    <col min="3315" max="3315" width="6.140625" style="3" customWidth="1"/>
    <col min="3316" max="3316" width="47.85546875" style="3" customWidth="1"/>
    <col min="3317" max="3317" width="13.85546875" style="3" customWidth="1"/>
    <col min="3318" max="3318" width="14.5703125" style="3" customWidth="1"/>
    <col min="3319" max="3319" width="13.140625" style="3" bestFit="1" customWidth="1"/>
    <col min="3320" max="3320" width="13.28515625" style="3" customWidth="1"/>
    <col min="3321" max="3321" width="14.140625" style="3" customWidth="1"/>
    <col min="3322" max="3322" width="13" style="3" customWidth="1"/>
    <col min="3323" max="3570" width="8.85546875" style="3"/>
    <col min="3571" max="3571" width="6.140625" style="3" customWidth="1"/>
    <col min="3572" max="3572" width="47.85546875" style="3" customWidth="1"/>
    <col min="3573" max="3573" width="13.85546875" style="3" customWidth="1"/>
    <col min="3574" max="3574" width="14.5703125" style="3" customWidth="1"/>
    <col min="3575" max="3575" width="13.140625" style="3" bestFit="1" customWidth="1"/>
    <col min="3576" max="3576" width="13.28515625" style="3" customWidth="1"/>
    <col min="3577" max="3577" width="14.140625" style="3" customWidth="1"/>
    <col min="3578" max="3578" width="13" style="3" customWidth="1"/>
    <col min="3579" max="3826" width="8.85546875" style="3"/>
    <col min="3827" max="3827" width="6.140625" style="3" customWidth="1"/>
    <col min="3828" max="3828" width="47.85546875" style="3" customWidth="1"/>
    <col min="3829" max="3829" width="13.85546875" style="3" customWidth="1"/>
    <col min="3830" max="3830" width="14.5703125" style="3" customWidth="1"/>
    <col min="3831" max="3831" width="13.140625" style="3" bestFit="1" customWidth="1"/>
    <col min="3832" max="3832" width="13.28515625" style="3" customWidth="1"/>
    <col min="3833" max="3833" width="14.140625" style="3" customWidth="1"/>
    <col min="3834" max="3834" width="13" style="3" customWidth="1"/>
    <col min="3835" max="4082" width="8.85546875" style="3"/>
    <col min="4083" max="4083" width="6.140625" style="3" customWidth="1"/>
    <col min="4084" max="4084" width="47.85546875" style="3" customWidth="1"/>
    <col min="4085" max="4085" width="13.85546875" style="3" customWidth="1"/>
    <col min="4086" max="4086" width="14.5703125" style="3" customWidth="1"/>
    <col min="4087" max="4087" width="13.140625" style="3" bestFit="1" customWidth="1"/>
    <col min="4088" max="4088" width="13.28515625" style="3" customWidth="1"/>
    <col min="4089" max="4089" width="14.140625" style="3" customWidth="1"/>
    <col min="4090" max="4090" width="13" style="3" customWidth="1"/>
    <col min="4091" max="4338" width="8.85546875" style="3"/>
    <col min="4339" max="4339" width="6.140625" style="3" customWidth="1"/>
    <col min="4340" max="4340" width="47.85546875" style="3" customWidth="1"/>
    <col min="4341" max="4341" width="13.85546875" style="3" customWidth="1"/>
    <col min="4342" max="4342" width="14.5703125" style="3" customWidth="1"/>
    <col min="4343" max="4343" width="13.140625" style="3" bestFit="1" customWidth="1"/>
    <col min="4344" max="4344" width="13.28515625" style="3" customWidth="1"/>
    <col min="4345" max="4345" width="14.140625" style="3" customWidth="1"/>
    <col min="4346" max="4346" width="13" style="3" customWidth="1"/>
    <col min="4347" max="4594" width="8.85546875" style="3"/>
    <col min="4595" max="4595" width="6.140625" style="3" customWidth="1"/>
    <col min="4596" max="4596" width="47.85546875" style="3" customWidth="1"/>
    <col min="4597" max="4597" width="13.85546875" style="3" customWidth="1"/>
    <col min="4598" max="4598" width="14.5703125" style="3" customWidth="1"/>
    <col min="4599" max="4599" width="13.140625" style="3" bestFit="1" customWidth="1"/>
    <col min="4600" max="4600" width="13.28515625" style="3" customWidth="1"/>
    <col min="4601" max="4601" width="14.140625" style="3" customWidth="1"/>
    <col min="4602" max="4602" width="13" style="3" customWidth="1"/>
    <col min="4603" max="4850" width="8.85546875" style="3"/>
    <col min="4851" max="4851" width="6.140625" style="3" customWidth="1"/>
    <col min="4852" max="4852" width="47.85546875" style="3" customWidth="1"/>
    <col min="4853" max="4853" width="13.85546875" style="3" customWidth="1"/>
    <col min="4854" max="4854" width="14.5703125" style="3" customWidth="1"/>
    <col min="4855" max="4855" width="13.140625" style="3" bestFit="1" customWidth="1"/>
    <col min="4856" max="4856" width="13.28515625" style="3" customWidth="1"/>
    <col min="4857" max="4857" width="14.140625" style="3" customWidth="1"/>
    <col min="4858" max="4858" width="13" style="3" customWidth="1"/>
    <col min="4859" max="5106" width="8.85546875" style="3"/>
    <col min="5107" max="5107" width="6.140625" style="3" customWidth="1"/>
    <col min="5108" max="5108" width="47.85546875" style="3" customWidth="1"/>
    <col min="5109" max="5109" width="13.85546875" style="3" customWidth="1"/>
    <col min="5110" max="5110" width="14.5703125" style="3" customWidth="1"/>
    <col min="5111" max="5111" width="13.140625" style="3" bestFit="1" customWidth="1"/>
    <col min="5112" max="5112" width="13.28515625" style="3" customWidth="1"/>
    <col min="5113" max="5113" width="14.140625" style="3" customWidth="1"/>
    <col min="5114" max="5114" width="13" style="3" customWidth="1"/>
    <col min="5115" max="5362" width="8.85546875" style="3"/>
    <col min="5363" max="5363" width="6.140625" style="3" customWidth="1"/>
    <col min="5364" max="5364" width="47.85546875" style="3" customWidth="1"/>
    <col min="5365" max="5365" width="13.85546875" style="3" customWidth="1"/>
    <col min="5366" max="5366" width="14.5703125" style="3" customWidth="1"/>
    <col min="5367" max="5367" width="13.140625" style="3" bestFit="1" customWidth="1"/>
    <col min="5368" max="5368" width="13.28515625" style="3" customWidth="1"/>
    <col min="5369" max="5369" width="14.140625" style="3" customWidth="1"/>
    <col min="5370" max="5370" width="13" style="3" customWidth="1"/>
    <col min="5371" max="5618" width="8.85546875" style="3"/>
    <col min="5619" max="5619" width="6.140625" style="3" customWidth="1"/>
    <col min="5620" max="5620" width="47.85546875" style="3" customWidth="1"/>
    <col min="5621" max="5621" width="13.85546875" style="3" customWidth="1"/>
    <col min="5622" max="5622" width="14.5703125" style="3" customWidth="1"/>
    <col min="5623" max="5623" width="13.140625" style="3" bestFit="1" customWidth="1"/>
    <col min="5624" max="5624" width="13.28515625" style="3" customWidth="1"/>
    <col min="5625" max="5625" width="14.140625" style="3" customWidth="1"/>
    <col min="5626" max="5626" width="13" style="3" customWidth="1"/>
    <col min="5627" max="5874" width="8.85546875" style="3"/>
    <col min="5875" max="5875" width="6.140625" style="3" customWidth="1"/>
    <col min="5876" max="5876" width="47.85546875" style="3" customWidth="1"/>
    <col min="5877" max="5877" width="13.85546875" style="3" customWidth="1"/>
    <col min="5878" max="5878" width="14.5703125" style="3" customWidth="1"/>
    <col min="5879" max="5879" width="13.140625" style="3" bestFit="1" customWidth="1"/>
    <col min="5880" max="5880" width="13.28515625" style="3" customWidth="1"/>
    <col min="5881" max="5881" width="14.140625" style="3" customWidth="1"/>
    <col min="5882" max="5882" width="13" style="3" customWidth="1"/>
    <col min="5883" max="6130" width="8.85546875" style="3"/>
    <col min="6131" max="6131" width="6.140625" style="3" customWidth="1"/>
    <col min="6132" max="6132" width="47.85546875" style="3" customWidth="1"/>
    <col min="6133" max="6133" width="13.85546875" style="3" customWidth="1"/>
    <col min="6134" max="6134" width="14.5703125" style="3" customWidth="1"/>
    <col min="6135" max="6135" width="13.140625" style="3" bestFit="1" customWidth="1"/>
    <col min="6136" max="6136" width="13.28515625" style="3" customWidth="1"/>
    <col min="6137" max="6137" width="14.140625" style="3" customWidth="1"/>
    <col min="6138" max="6138" width="13" style="3" customWidth="1"/>
    <col min="6139" max="6386" width="8.85546875" style="3"/>
    <col min="6387" max="6387" width="6.140625" style="3" customWidth="1"/>
    <col min="6388" max="6388" width="47.85546875" style="3" customWidth="1"/>
    <col min="6389" max="6389" width="13.85546875" style="3" customWidth="1"/>
    <col min="6390" max="6390" width="14.5703125" style="3" customWidth="1"/>
    <col min="6391" max="6391" width="13.140625" style="3" bestFit="1" customWidth="1"/>
    <col min="6392" max="6392" width="13.28515625" style="3" customWidth="1"/>
    <col min="6393" max="6393" width="14.140625" style="3" customWidth="1"/>
    <col min="6394" max="6394" width="13" style="3" customWidth="1"/>
    <col min="6395" max="6642" width="8.85546875" style="3"/>
    <col min="6643" max="6643" width="6.140625" style="3" customWidth="1"/>
    <col min="6644" max="6644" width="47.85546875" style="3" customWidth="1"/>
    <col min="6645" max="6645" width="13.85546875" style="3" customWidth="1"/>
    <col min="6646" max="6646" width="14.5703125" style="3" customWidth="1"/>
    <col min="6647" max="6647" width="13.140625" style="3" bestFit="1" customWidth="1"/>
    <col min="6648" max="6648" width="13.28515625" style="3" customWidth="1"/>
    <col min="6649" max="6649" width="14.140625" style="3" customWidth="1"/>
    <col min="6650" max="6650" width="13" style="3" customWidth="1"/>
    <col min="6651" max="6898" width="8.85546875" style="3"/>
    <col min="6899" max="6899" width="6.140625" style="3" customWidth="1"/>
    <col min="6900" max="6900" width="47.85546875" style="3" customWidth="1"/>
    <col min="6901" max="6901" width="13.85546875" style="3" customWidth="1"/>
    <col min="6902" max="6902" width="14.5703125" style="3" customWidth="1"/>
    <col min="6903" max="6903" width="13.140625" style="3" bestFit="1" customWidth="1"/>
    <col min="6904" max="6904" width="13.28515625" style="3" customWidth="1"/>
    <col min="6905" max="6905" width="14.140625" style="3" customWidth="1"/>
    <col min="6906" max="6906" width="13" style="3" customWidth="1"/>
    <col min="6907" max="7154" width="8.85546875" style="3"/>
    <col min="7155" max="7155" width="6.140625" style="3" customWidth="1"/>
    <col min="7156" max="7156" width="47.85546875" style="3" customWidth="1"/>
    <col min="7157" max="7157" width="13.85546875" style="3" customWidth="1"/>
    <col min="7158" max="7158" width="14.5703125" style="3" customWidth="1"/>
    <col min="7159" max="7159" width="13.140625" style="3" bestFit="1" customWidth="1"/>
    <col min="7160" max="7160" width="13.28515625" style="3" customWidth="1"/>
    <col min="7161" max="7161" width="14.140625" style="3" customWidth="1"/>
    <col min="7162" max="7162" width="13" style="3" customWidth="1"/>
    <col min="7163" max="7410" width="8.85546875" style="3"/>
    <col min="7411" max="7411" width="6.140625" style="3" customWidth="1"/>
    <col min="7412" max="7412" width="47.85546875" style="3" customWidth="1"/>
    <col min="7413" max="7413" width="13.85546875" style="3" customWidth="1"/>
    <col min="7414" max="7414" width="14.5703125" style="3" customWidth="1"/>
    <col min="7415" max="7415" width="13.140625" style="3" bestFit="1" customWidth="1"/>
    <col min="7416" max="7416" width="13.28515625" style="3" customWidth="1"/>
    <col min="7417" max="7417" width="14.140625" style="3" customWidth="1"/>
    <col min="7418" max="7418" width="13" style="3" customWidth="1"/>
    <col min="7419" max="7666" width="8.85546875" style="3"/>
    <col min="7667" max="7667" width="6.140625" style="3" customWidth="1"/>
    <col min="7668" max="7668" width="47.85546875" style="3" customWidth="1"/>
    <col min="7669" max="7669" width="13.85546875" style="3" customWidth="1"/>
    <col min="7670" max="7670" width="14.5703125" style="3" customWidth="1"/>
    <col min="7671" max="7671" width="13.140625" style="3" bestFit="1" customWidth="1"/>
    <col min="7672" max="7672" width="13.28515625" style="3" customWidth="1"/>
    <col min="7673" max="7673" width="14.140625" style="3" customWidth="1"/>
    <col min="7674" max="7674" width="13" style="3" customWidth="1"/>
    <col min="7675" max="7922" width="8.85546875" style="3"/>
    <col min="7923" max="7923" width="6.140625" style="3" customWidth="1"/>
    <col min="7924" max="7924" width="47.85546875" style="3" customWidth="1"/>
    <col min="7925" max="7925" width="13.85546875" style="3" customWidth="1"/>
    <col min="7926" max="7926" width="14.5703125" style="3" customWidth="1"/>
    <col min="7927" max="7927" width="13.140625" style="3" bestFit="1" customWidth="1"/>
    <col min="7928" max="7928" width="13.28515625" style="3" customWidth="1"/>
    <col min="7929" max="7929" width="14.140625" style="3" customWidth="1"/>
    <col min="7930" max="7930" width="13" style="3" customWidth="1"/>
    <col min="7931" max="8178" width="8.85546875" style="3"/>
    <col min="8179" max="8179" width="6.140625" style="3" customWidth="1"/>
    <col min="8180" max="8180" width="47.85546875" style="3" customWidth="1"/>
    <col min="8181" max="8181" width="13.85546875" style="3" customWidth="1"/>
    <col min="8182" max="8182" width="14.5703125" style="3" customWidth="1"/>
    <col min="8183" max="8183" width="13.140625" style="3" bestFit="1" customWidth="1"/>
    <col min="8184" max="8184" width="13.28515625" style="3" customWidth="1"/>
    <col min="8185" max="8185" width="14.140625" style="3" customWidth="1"/>
    <col min="8186" max="8186" width="13" style="3" customWidth="1"/>
    <col min="8187" max="8434" width="8.85546875" style="3"/>
    <col min="8435" max="8435" width="6.140625" style="3" customWidth="1"/>
    <col min="8436" max="8436" width="47.85546875" style="3" customWidth="1"/>
    <col min="8437" max="8437" width="13.85546875" style="3" customWidth="1"/>
    <col min="8438" max="8438" width="14.5703125" style="3" customWidth="1"/>
    <col min="8439" max="8439" width="13.140625" style="3" bestFit="1" customWidth="1"/>
    <col min="8440" max="8440" width="13.28515625" style="3" customWidth="1"/>
    <col min="8441" max="8441" width="14.140625" style="3" customWidth="1"/>
    <col min="8442" max="8442" width="13" style="3" customWidth="1"/>
    <col min="8443" max="8690" width="8.85546875" style="3"/>
    <col min="8691" max="8691" width="6.140625" style="3" customWidth="1"/>
    <col min="8692" max="8692" width="47.85546875" style="3" customWidth="1"/>
    <col min="8693" max="8693" width="13.85546875" style="3" customWidth="1"/>
    <col min="8694" max="8694" width="14.5703125" style="3" customWidth="1"/>
    <col min="8695" max="8695" width="13.140625" style="3" bestFit="1" customWidth="1"/>
    <col min="8696" max="8696" width="13.28515625" style="3" customWidth="1"/>
    <col min="8697" max="8697" width="14.140625" style="3" customWidth="1"/>
    <col min="8698" max="8698" width="13" style="3" customWidth="1"/>
    <col min="8699" max="8946" width="8.85546875" style="3"/>
    <col min="8947" max="8947" width="6.140625" style="3" customWidth="1"/>
    <col min="8948" max="8948" width="47.85546875" style="3" customWidth="1"/>
    <col min="8949" max="8949" width="13.85546875" style="3" customWidth="1"/>
    <col min="8950" max="8950" width="14.5703125" style="3" customWidth="1"/>
    <col min="8951" max="8951" width="13.140625" style="3" bestFit="1" customWidth="1"/>
    <col min="8952" max="8952" width="13.28515625" style="3" customWidth="1"/>
    <col min="8953" max="8953" width="14.140625" style="3" customWidth="1"/>
    <col min="8954" max="8954" width="13" style="3" customWidth="1"/>
    <col min="8955" max="9202" width="8.85546875" style="3"/>
    <col min="9203" max="9203" width="6.140625" style="3" customWidth="1"/>
    <col min="9204" max="9204" width="47.85546875" style="3" customWidth="1"/>
    <col min="9205" max="9205" width="13.85546875" style="3" customWidth="1"/>
    <col min="9206" max="9206" width="14.5703125" style="3" customWidth="1"/>
    <col min="9207" max="9207" width="13.140625" style="3" bestFit="1" customWidth="1"/>
    <col min="9208" max="9208" width="13.28515625" style="3" customWidth="1"/>
    <col min="9209" max="9209" width="14.140625" style="3" customWidth="1"/>
    <col min="9210" max="9210" width="13" style="3" customWidth="1"/>
    <col min="9211" max="9458" width="8.85546875" style="3"/>
    <col min="9459" max="9459" width="6.140625" style="3" customWidth="1"/>
    <col min="9460" max="9460" width="47.85546875" style="3" customWidth="1"/>
    <col min="9461" max="9461" width="13.85546875" style="3" customWidth="1"/>
    <col min="9462" max="9462" width="14.5703125" style="3" customWidth="1"/>
    <col min="9463" max="9463" width="13.140625" style="3" bestFit="1" customWidth="1"/>
    <col min="9464" max="9464" width="13.28515625" style="3" customWidth="1"/>
    <col min="9465" max="9465" width="14.140625" style="3" customWidth="1"/>
    <col min="9466" max="9466" width="13" style="3" customWidth="1"/>
    <col min="9467" max="9714" width="8.85546875" style="3"/>
    <col min="9715" max="9715" width="6.140625" style="3" customWidth="1"/>
    <col min="9716" max="9716" width="47.85546875" style="3" customWidth="1"/>
    <col min="9717" max="9717" width="13.85546875" style="3" customWidth="1"/>
    <col min="9718" max="9718" width="14.5703125" style="3" customWidth="1"/>
    <col min="9719" max="9719" width="13.140625" style="3" bestFit="1" customWidth="1"/>
    <col min="9720" max="9720" width="13.28515625" style="3" customWidth="1"/>
    <col min="9721" max="9721" width="14.140625" style="3" customWidth="1"/>
    <col min="9722" max="9722" width="13" style="3" customWidth="1"/>
    <col min="9723" max="9970" width="8.85546875" style="3"/>
    <col min="9971" max="9971" width="6.140625" style="3" customWidth="1"/>
    <col min="9972" max="9972" width="47.85546875" style="3" customWidth="1"/>
    <col min="9973" max="9973" width="13.85546875" style="3" customWidth="1"/>
    <col min="9974" max="9974" width="14.5703125" style="3" customWidth="1"/>
    <col min="9975" max="9975" width="13.140625" style="3" bestFit="1" customWidth="1"/>
    <col min="9976" max="9976" width="13.28515625" style="3" customWidth="1"/>
    <col min="9977" max="9977" width="14.140625" style="3" customWidth="1"/>
    <col min="9978" max="9978" width="13" style="3" customWidth="1"/>
    <col min="9979" max="10226" width="8.85546875" style="3"/>
    <col min="10227" max="10227" width="6.140625" style="3" customWidth="1"/>
    <col min="10228" max="10228" width="47.85546875" style="3" customWidth="1"/>
    <col min="10229" max="10229" width="13.85546875" style="3" customWidth="1"/>
    <col min="10230" max="10230" width="14.5703125" style="3" customWidth="1"/>
    <col min="10231" max="10231" width="13.140625" style="3" bestFit="1" customWidth="1"/>
    <col min="10232" max="10232" width="13.28515625" style="3" customWidth="1"/>
    <col min="10233" max="10233" width="14.140625" style="3" customWidth="1"/>
    <col min="10234" max="10234" width="13" style="3" customWidth="1"/>
    <col min="10235" max="10482" width="8.85546875" style="3"/>
    <col min="10483" max="10483" width="6.140625" style="3" customWidth="1"/>
    <col min="10484" max="10484" width="47.85546875" style="3" customWidth="1"/>
    <col min="10485" max="10485" width="13.85546875" style="3" customWidth="1"/>
    <col min="10486" max="10486" width="14.5703125" style="3" customWidth="1"/>
    <col min="10487" max="10487" width="13.140625" style="3" bestFit="1" customWidth="1"/>
    <col min="10488" max="10488" width="13.28515625" style="3" customWidth="1"/>
    <col min="10489" max="10489" width="14.140625" style="3" customWidth="1"/>
    <col min="10490" max="10490" width="13" style="3" customWidth="1"/>
    <col min="10491" max="10738" width="8.85546875" style="3"/>
    <col min="10739" max="10739" width="6.140625" style="3" customWidth="1"/>
    <col min="10740" max="10740" width="47.85546875" style="3" customWidth="1"/>
    <col min="10741" max="10741" width="13.85546875" style="3" customWidth="1"/>
    <col min="10742" max="10742" width="14.5703125" style="3" customWidth="1"/>
    <col min="10743" max="10743" width="13.140625" style="3" bestFit="1" customWidth="1"/>
    <col min="10744" max="10744" width="13.28515625" style="3" customWidth="1"/>
    <col min="10745" max="10745" width="14.140625" style="3" customWidth="1"/>
    <col min="10746" max="10746" width="13" style="3" customWidth="1"/>
    <col min="10747" max="10994" width="8.85546875" style="3"/>
    <col min="10995" max="10995" width="6.140625" style="3" customWidth="1"/>
    <col min="10996" max="10996" width="47.85546875" style="3" customWidth="1"/>
    <col min="10997" max="10997" width="13.85546875" style="3" customWidth="1"/>
    <col min="10998" max="10998" width="14.5703125" style="3" customWidth="1"/>
    <col min="10999" max="10999" width="13.140625" style="3" bestFit="1" customWidth="1"/>
    <col min="11000" max="11000" width="13.28515625" style="3" customWidth="1"/>
    <col min="11001" max="11001" width="14.140625" style="3" customWidth="1"/>
    <col min="11002" max="11002" width="13" style="3" customWidth="1"/>
    <col min="11003" max="11250" width="8.85546875" style="3"/>
    <col min="11251" max="11251" width="6.140625" style="3" customWidth="1"/>
    <col min="11252" max="11252" width="47.85546875" style="3" customWidth="1"/>
    <col min="11253" max="11253" width="13.85546875" style="3" customWidth="1"/>
    <col min="11254" max="11254" width="14.5703125" style="3" customWidth="1"/>
    <col min="11255" max="11255" width="13.140625" style="3" bestFit="1" customWidth="1"/>
    <col min="11256" max="11256" width="13.28515625" style="3" customWidth="1"/>
    <col min="11257" max="11257" width="14.140625" style="3" customWidth="1"/>
    <col min="11258" max="11258" width="13" style="3" customWidth="1"/>
    <col min="11259" max="11506" width="8.85546875" style="3"/>
    <col min="11507" max="11507" width="6.140625" style="3" customWidth="1"/>
    <col min="11508" max="11508" width="47.85546875" style="3" customWidth="1"/>
    <col min="11509" max="11509" width="13.85546875" style="3" customWidth="1"/>
    <col min="11510" max="11510" width="14.5703125" style="3" customWidth="1"/>
    <col min="11511" max="11511" width="13.140625" style="3" bestFit="1" customWidth="1"/>
    <col min="11512" max="11512" width="13.28515625" style="3" customWidth="1"/>
    <col min="11513" max="11513" width="14.140625" style="3" customWidth="1"/>
    <col min="11514" max="11514" width="13" style="3" customWidth="1"/>
    <col min="11515" max="11762" width="8.85546875" style="3"/>
    <col min="11763" max="11763" width="6.140625" style="3" customWidth="1"/>
    <col min="11764" max="11764" width="47.85546875" style="3" customWidth="1"/>
    <col min="11765" max="11765" width="13.85546875" style="3" customWidth="1"/>
    <col min="11766" max="11766" width="14.5703125" style="3" customWidth="1"/>
    <col min="11767" max="11767" width="13.140625" style="3" bestFit="1" customWidth="1"/>
    <col min="11768" max="11768" width="13.28515625" style="3" customWidth="1"/>
    <col min="11769" max="11769" width="14.140625" style="3" customWidth="1"/>
    <col min="11770" max="11770" width="13" style="3" customWidth="1"/>
    <col min="11771" max="12018" width="8.85546875" style="3"/>
    <col min="12019" max="12019" width="6.140625" style="3" customWidth="1"/>
    <col min="12020" max="12020" width="47.85546875" style="3" customWidth="1"/>
    <col min="12021" max="12021" width="13.85546875" style="3" customWidth="1"/>
    <col min="12022" max="12022" width="14.5703125" style="3" customWidth="1"/>
    <col min="12023" max="12023" width="13.140625" style="3" bestFit="1" customWidth="1"/>
    <col min="12024" max="12024" width="13.28515625" style="3" customWidth="1"/>
    <col min="12025" max="12025" width="14.140625" style="3" customWidth="1"/>
    <col min="12026" max="12026" width="13" style="3" customWidth="1"/>
    <col min="12027" max="12274" width="8.85546875" style="3"/>
    <col min="12275" max="12275" width="6.140625" style="3" customWidth="1"/>
    <col min="12276" max="12276" width="47.85546875" style="3" customWidth="1"/>
    <col min="12277" max="12277" width="13.85546875" style="3" customWidth="1"/>
    <col min="12278" max="12278" width="14.5703125" style="3" customWidth="1"/>
    <col min="12279" max="12279" width="13.140625" style="3" bestFit="1" customWidth="1"/>
    <col min="12280" max="12280" width="13.28515625" style="3" customWidth="1"/>
    <col min="12281" max="12281" width="14.140625" style="3" customWidth="1"/>
    <col min="12282" max="12282" width="13" style="3" customWidth="1"/>
    <col min="12283" max="12530" width="8.85546875" style="3"/>
    <col min="12531" max="12531" width="6.140625" style="3" customWidth="1"/>
    <col min="12532" max="12532" width="47.85546875" style="3" customWidth="1"/>
    <col min="12533" max="12533" width="13.85546875" style="3" customWidth="1"/>
    <col min="12534" max="12534" width="14.5703125" style="3" customWidth="1"/>
    <col min="12535" max="12535" width="13.140625" style="3" bestFit="1" customWidth="1"/>
    <col min="12536" max="12536" width="13.28515625" style="3" customWidth="1"/>
    <col min="12537" max="12537" width="14.140625" style="3" customWidth="1"/>
    <col min="12538" max="12538" width="13" style="3" customWidth="1"/>
    <col min="12539" max="12786" width="8.85546875" style="3"/>
    <col min="12787" max="12787" width="6.140625" style="3" customWidth="1"/>
    <col min="12788" max="12788" width="47.85546875" style="3" customWidth="1"/>
    <col min="12789" max="12789" width="13.85546875" style="3" customWidth="1"/>
    <col min="12790" max="12790" width="14.5703125" style="3" customWidth="1"/>
    <col min="12791" max="12791" width="13.140625" style="3" bestFit="1" customWidth="1"/>
    <col min="12792" max="12792" width="13.28515625" style="3" customWidth="1"/>
    <col min="12793" max="12793" width="14.140625" style="3" customWidth="1"/>
    <col min="12794" max="12794" width="13" style="3" customWidth="1"/>
    <col min="12795" max="13042" width="8.85546875" style="3"/>
    <col min="13043" max="13043" width="6.140625" style="3" customWidth="1"/>
    <col min="13044" max="13044" width="47.85546875" style="3" customWidth="1"/>
    <col min="13045" max="13045" width="13.85546875" style="3" customWidth="1"/>
    <col min="13046" max="13046" width="14.5703125" style="3" customWidth="1"/>
    <col min="13047" max="13047" width="13.140625" style="3" bestFit="1" customWidth="1"/>
    <col min="13048" max="13048" width="13.28515625" style="3" customWidth="1"/>
    <col min="13049" max="13049" width="14.140625" style="3" customWidth="1"/>
    <col min="13050" max="13050" width="13" style="3" customWidth="1"/>
    <col min="13051" max="13298" width="8.85546875" style="3"/>
    <col min="13299" max="13299" width="6.140625" style="3" customWidth="1"/>
    <col min="13300" max="13300" width="47.85546875" style="3" customWidth="1"/>
    <col min="13301" max="13301" width="13.85546875" style="3" customWidth="1"/>
    <col min="13302" max="13302" width="14.5703125" style="3" customWidth="1"/>
    <col min="13303" max="13303" width="13.140625" style="3" bestFit="1" customWidth="1"/>
    <col min="13304" max="13304" width="13.28515625" style="3" customWidth="1"/>
    <col min="13305" max="13305" width="14.140625" style="3" customWidth="1"/>
    <col min="13306" max="13306" width="13" style="3" customWidth="1"/>
    <col min="13307" max="13554" width="8.85546875" style="3"/>
    <col min="13555" max="13555" width="6.140625" style="3" customWidth="1"/>
    <col min="13556" max="13556" width="47.85546875" style="3" customWidth="1"/>
    <col min="13557" max="13557" width="13.85546875" style="3" customWidth="1"/>
    <col min="13558" max="13558" width="14.5703125" style="3" customWidth="1"/>
    <col min="13559" max="13559" width="13.140625" style="3" bestFit="1" customWidth="1"/>
    <col min="13560" max="13560" width="13.28515625" style="3" customWidth="1"/>
    <col min="13561" max="13561" width="14.140625" style="3" customWidth="1"/>
    <col min="13562" max="13562" width="13" style="3" customWidth="1"/>
    <col min="13563" max="13810" width="8.85546875" style="3"/>
    <col min="13811" max="13811" width="6.140625" style="3" customWidth="1"/>
    <col min="13812" max="13812" width="47.85546875" style="3" customWidth="1"/>
    <col min="13813" max="13813" width="13.85546875" style="3" customWidth="1"/>
    <col min="13814" max="13814" width="14.5703125" style="3" customWidth="1"/>
    <col min="13815" max="13815" width="13.140625" style="3" bestFit="1" customWidth="1"/>
    <col min="13816" max="13816" width="13.28515625" style="3" customWidth="1"/>
    <col min="13817" max="13817" width="14.140625" style="3" customWidth="1"/>
    <col min="13818" max="13818" width="13" style="3" customWidth="1"/>
    <col min="13819" max="14066" width="8.85546875" style="3"/>
    <col min="14067" max="14067" width="6.140625" style="3" customWidth="1"/>
    <col min="14068" max="14068" width="47.85546875" style="3" customWidth="1"/>
    <col min="14069" max="14069" width="13.85546875" style="3" customWidth="1"/>
    <col min="14070" max="14070" width="14.5703125" style="3" customWidth="1"/>
    <col min="14071" max="14071" width="13.140625" style="3" bestFit="1" customWidth="1"/>
    <col min="14072" max="14072" width="13.28515625" style="3" customWidth="1"/>
    <col min="14073" max="14073" width="14.140625" style="3" customWidth="1"/>
    <col min="14074" max="14074" width="13" style="3" customWidth="1"/>
    <col min="14075" max="14322" width="8.85546875" style="3"/>
    <col min="14323" max="14323" width="6.140625" style="3" customWidth="1"/>
    <col min="14324" max="14324" width="47.85546875" style="3" customWidth="1"/>
    <col min="14325" max="14325" width="13.85546875" style="3" customWidth="1"/>
    <col min="14326" max="14326" width="14.5703125" style="3" customWidth="1"/>
    <col min="14327" max="14327" width="13.140625" style="3" bestFit="1" customWidth="1"/>
    <col min="14328" max="14328" width="13.28515625" style="3" customWidth="1"/>
    <col min="14329" max="14329" width="14.140625" style="3" customWidth="1"/>
    <col min="14330" max="14330" width="13" style="3" customWidth="1"/>
    <col min="14331" max="14578" width="8.85546875" style="3"/>
    <col min="14579" max="14579" width="6.140625" style="3" customWidth="1"/>
    <col min="14580" max="14580" width="47.85546875" style="3" customWidth="1"/>
    <col min="14581" max="14581" width="13.85546875" style="3" customWidth="1"/>
    <col min="14582" max="14582" width="14.5703125" style="3" customWidth="1"/>
    <col min="14583" max="14583" width="13.140625" style="3" bestFit="1" customWidth="1"/>
    <col min="14584" max="14584" width="13.28515625" style="3" customWidth="1"/>
    <col min="14585" max="14585" width="14.140625" style="3" customWidth="1"/>
    <col min="14586" max="14586" width="13" style="3" customWidth="1"/>
    <col min="14587" max="14834" width="8.85546875" style="3"/>
    <col min="14835" max="14835" width="6.140625" style="3" customWidth="1"/>
    <col min="14836" max="14836" width="47.85546875" style="3" customWidth="1"/>
    <col min="14837" max="14837" width="13.85546875" style="3" customWidth="1"/>
    <col min="14838" max="14838" width="14.5703125" style="3" customWidth="1"/>
    <col min="14839" max="14839" width="13.140625" style="3" bestFit="1" customWidth="1"/>
    <col min="14840" max="14840" width="13.28515625" style="3" customWidth="1"/>
    <col min="14841" max="14841" width="14.140625" style="3" customWidth="1"/>
    <col min="14842" max="14842" width="13" style="3" customWidth="1"/>
    <col min="14843" max="15090" width="8.85546875" style="3"/>
    <col min="15091" max="15091" width="6.140625" style="3" customWidth="1"/>
    <col min="15092" max="15092" width="47.85546875" style="3" customWidth="1"/>
    <col min="15093" max="15093" width="13.85546875" style="3" customWidth="1"/>
    <col min="15094" max="15094" width="14.5703125" style="3" customWidth="1"/>
    <col min="15095" max="15095" width="13.140625" style="3" bestFit="1" customWidth="1"/>
    <col min="15096" max="15096" width="13.28515625" style="3" customWidth="1"/>
    <col min="15097" max="15097" width="14.140625" style="3" customWidth="1"/>
    <col min="15098" max="15098" width="13" style="3" customWidth="1"/>
    <col min="15099" max="15346" width="8.85546875" style="3"/>
    <col min="15347" max="15347" width="6.140625" style="3" customWidth="1"/>
    <col min="15348" max="15348" width="47.85546875" style="3" customWidth="1"/>
    <col min="15349" max="15349" width="13.85546875" style="3" customWidth="1"/>
    <col min="15350" max="15350" width="14.5703125" style="3" customWidth="1"/>
    <col min="15351" max="15351" width="13.140625" style="3" bestFit="1" customWidth="1"/>
    <col min="15352" max="15352" width="13.28515625" style="3" customWidth="1"/>
    <col min="15353" max="15353" width="14.140625" style="3" customWidth="1"/>
    <col min="15354" max="15354" width="13" style="3" customWidth="1"/>
    <col min="15355" max="15602" width="8.85546875" style="3"/>
    <col min="15603" max="15603" width="6.140625" style="3" customWidth="1"/>
    <col min="15604" max="15604" width="47.85546875" style="3" customWidth="1"/>
    <col min="15605" max="15605" width="13.85546875" style="3" customWidth="1"/>
    <col min="15606" max="15606" width="14.5703125" style="3" customWidth="1"/>
    <col min="15607" max="15607" width="13.140625" style="3" bestFit="1" customWidth="1"/>
    <col min="15608" max="15608" width="13.28515625" style="3" customWidth="1"/>
    <col min="15609" max="15609" width="14.140625" style="3" customWidth="1"/>
    <col min="15610" max="15610" width="13" style="3" customWidth="1"/>
    <col min="15611" max="15858" width="8.85546875" style="3"/>
    <col min="15859" max="15859" width="6.140625" style="3" customWidth="1"/>
    <col min="15860" max="15860" width="47.85546875" style="3" customWidth="1"/>
    <col min="15861" max="15861" width="13.85546875" style="3" customWidth="1"/>
    <col min="15862" max="15862" width="14.5703125" style="3" customWidth="1"/>
    <col min="15863" max="15863" width="13.140625" style="3" bestFit="1" customWidth="1"/>
    <col min="15864" max="15864" width="13.28515625" style="3" customWidth="1"/>
    <col min="15865" max="15865" width="14.140625" style="3" customWidth="1"/>
    <col min="15866" max="15866" width="13" style="3" customWidth="1"/>
    <col min="15867" max="16114" width="8.85546875" style="3"/>
    <col min="16115" max="16115" width="6.140625" style="3" customWidth="1"/>
    <col min="16116" max="16116" width="47.85546875" style="3" customWidth="1"/>
    <col min="16117" max="16117" width="13.85546875" style="3" customWidth="1"/>
    <col min="16118" max="16118" width="14.5703125" style="3" customWidth="1"/>
    <col min="16119" max="16119" width="13.140625" style="3" bestFit="1" customWidth="1"/>
    <col min="16120" max="16120" width="13.28515625" style="3" customWidth="1"/>
    <col min="16121" max="16121" width="14.140625" style="3" customWidth="1"/>
    <col min="16122" max="16122" width="13" style="3" customWidth="1"/>
    <col min="16123" max="16384" width="8.85546875" style="3"/>
  </cols>
  <sheetData>
    <row r="1" spans="1:6" ht="19.5" customHeight="1">
      <c r="A1" s="354" t="s">
        <v>517</v>
      </c>
      <c r="B1" s="354"/>
      <c r="F1" s="81" t="s">
        <v>192</v>
      </c>
    </row>
    <row r="2" spans="1:6" ht="27" customHeight="1">
      <c r="A2" s="356" t="s">
        <v>428</v>
      </c>
      <c r="B2" s="356"/>
      <c r="C2" s="356"/>
      <c r="D2" s="356"/>
      <c r="E2" s="356"/>
      <c r="F2" s="356"/>
    </row>
    <row r="3" spans="1:6" ht="27" customHeight="1">
      <c r="A3" s="357" t="str">
        <f>'51'!A3:E3</f>
        <v>(Kèm theo Nghị quyết số            /NQ-HĐND ngày     tháng     năm 2023 của Hội đồng nhân dân huyện)</v>
      </c>
      <c r="B3" s="357"/>
      <c r="C3" s="357"/>
      <c r="D3" s="357"/>
      <c r="E3" s="357"/>
      <c r="F3" s="357"/>
    </row>
    <row r="4" spans="1:6" ht="19.5" customHeight="1">
      <c r="F4" s="82" t="s">
        <v>15</v>
      </c>
    </row>
    <row r="5" spans="1:6" ht="15.75">
      <c r="A5" s="358" t="s">
        <v>0</v>
      </c>
      <c r="B5" s="358" t="s">
        <v>2</v>
      </c>
      <c r="C5" s="367" t="s">
        <v>17</v>
      </c>
      <c r="D5" s="367" t="s">
        <v>18</v>
      </c>
      <c r="E5" s="367" t="s">
        <v>19</v>
      </c>
      <c r="F5" s="367"/>
    </row>
    <row r="6" spans="1:6" ht="31.5">
      <c r="A6" s="358"/>
      <c r="B6" s="358"/>
      <c r="C6" s="367"/>
      <c r="D6" s="367"/>
      <c r="E6" s="83" t="s">
        <v>20</v>
      </c>
      <c r="F6" s="83" t="s">
        <v>21</v>
      </c>
    </row>
    <row r="7" spans="1:6" ht="15.75">
      <c r="A7" s="14" t="s">
        <v>22</v>
      </c>
      <c r="B7" s="14" t="s">
        <v>23</v>
      </c>
      <c r="C7" s="84">
        <v>1</v>
      </c>
      <c r="D7" s="84">
        <v>2</v>
      </c>
      <c r="E7" s="83" t="s">
        <v>24</v>
      </c>
      <c r="F7" s="83" t="s">
        <v>25</v>
      </c>
    </row>
    <row r="8" spans="1:6" ht="15.75">
      <c r="A8" s="14"/>
      <c r="B8" s="15" t="s">
        <v>193</v>
      </c>
      <c r="C8" s="259">
        <f>C9+C10+C46+C47</f>
        <v>360630.83999999997</v>
      </c>
      <c r="D8" s="259">
        <f>D9+D10+D46+D47</f>
        <v>539023.37820299994</v>
      </c>
      <c r="E8" s="259">
        <f>D8-C8</f>
        <v>178392.53820299997</v>
      </c>
      <c r="F8" s="259">
        <f>D8/C8%</f>
        <v>149.46680051073832</v>
      </c>
    </row>
    <row r="9" spans="1:6" ht="31.5">
      <c r="A9" s="14" t="s">
        <v>22</v>
      </c>
      <c r="B9" s="15" t="s">
        <v>194</v>
      </c>
      <c r="C9" s="259">
        <v>53546.84</v>
      </c>
      <c r="D9" s="259">
        <v>71955.409620000006</v>
      </c>
      <c r="E9" s="259">
        <f t="shared" ref="E9:E23" si="0">D9-C9</f>
        <v>18408.569620000009</v>
      </c>
      <c r="F9" s="259">
        <f>D9/C9%</f>
        <v>134.37844253741213</v>
      </c>
    </row>
    <row r="10" spans="1:6" ht="31.5">
      <c r="A10" s="14" t="s">
        <v>23</v>
      </c>
      <c r="B10" s="15" t="s">
        <v>195</v>
      </c>
      <c r="C10" s="259">
        <f>C11+C28+C43+C44+C45</f>
        <v>307084</v>
      </c>
      <c r="D10" s="259">
        <f>D11+D28+D43+D44</f>
        <v>341787.05157200003</v>
      </c>
      <c r="E10" s="259">
        <f>D10-C10</f>
        <v>34703.051572000026</v>
      </c>
      <c r="F10" s="259">
        <f>D10/C10%</f>
        <v>111.30083350874679</v>
      </c>
    </row>
    <row r="11" spans="1:6" ht="15.75">
      <c r="A11" s="14" t="s">
        <v>3</v>
      </c>
      <c r="B11" s="15" t="s">
        <v>196</v>
      </c>
      <c r="C11" s="259">
        <f>C12+C26+C27</f>
        <v>12736</v>
      </c>
      <c r="D11" s="259">
        <f>D12+D26+D27</f>
        <v>82673.428809000005</v>
      </c>
      <c r="E11" s="259">
        <f t="shared" si="0"/>
        <v>69937.428809000005</v>
      </c>
      <c r="F11" s="259">
        <f>D11/C11%</f>
        <v>649.13182167870605</v>
      </c>
    </row>
    <row r="12" spans="1:6" ht="15.75">
      <c r="A12" s="10">
        <v>1</v>
      </c>
      <c r="B12" s="17" t="s">
        <v>197</v>
      </c>
      <c r="C12" s="260">
        <f>SUM(C13:C25)</f>
        <v>12736</v>
      </c>
      <c r="D12" s="260">
        <f>SUM(D13:D25)</f>
        <v>82673.428809000005</v>
      </c>
      <c r="E12" s="260">
        <f t="shared" si="0"/>
        <v>69937.428809000005</v>
      </c>
      <c r="F12" s="260">
        <f>D12/C12%</f>
        <v>649.13182167870605</v>
      </c>
    </row>
    <row r="13" spans="1:6" ht="15.75">
      <c r="A13" s="10" t="s">
        <v>28</v>
      </c>
      <c r="B13" s="17" t="s">
        <v>163</v>
      </c>
      <c r="C13" s="260">
        <v>3072</v>
      </c>
      <c r="D13" s="260">
        <v>12763.584917</v>
      </c>
      <c r="E13" s="260">
        <f t="shared" si="0"/>
        <v>9691.5849170000001</v>
      </c>
      <c r="F13" s="260">
        <f t="shared" ref="F13:F42" si="1">D13/C13%</f>
        <v>415.48127985026042</v>
      </c>
    </row>
    <row r="14" spans="1:6" ht="15.75">
      <c r="A14" s="10" t="s">
        <v>28</v>
      </c>
      <c r="B14" s="17" t="s">
        <v>164</v>
      </c>
      <c r="C14" s="260"/>
      <c r="D14" s="260"/>
      <c r="E14" s="260">
        <f t="shared" si="0"/>
        <v>0</v>
      </c>
      <c r="F14" s="260"/>
    </row>
    <row r="15" spans="1:6" ht="15.75">
      <c r="A15" s="10" t="s">
        <v>28</v>
      </c>
      <c r="B15" s="17" t="s">
        <v>135</v>
      </c>
      <c r="C15" s="260"/>
      <c r="D15" s="260"/>
      <c r="E15" s="260">
        <f t="shared" si="0"/>
        <v>0</v>
      </c>
      <c r="F15" s="260"/>
    </row>
    <row r="16" spans="1:6" ht="15.75">
      <c r="A16" s="10" t="s">
        <v>28</v>
      </c>
      <c r="B16" s="17" t="s">
        <v>137</v>
      </c>
      <c r="C16" s="260"/>
      <c r="D16" s="260"/>
      <c r="E16" s="260">
        <f t="shared" si="0"/>
        <v>0</v>
      </c>
      <c r="F16" s="260"/>
    </row>
    <row r="17" spans="1:8" ht="15.75">
      <c r="A17" s="10" t="s">
        <v>28</v>
      </c>
      <c r="B17" s="17" t="s">
        <v>198</v>
      </c>
      <c r="C17" s="260"/>
      <c r="D17" s="260"/>
      <c r="E17" s="260">
        <f t="shared" si="0"/>
        <v>0</v>
      </c>
      <c r="F17" s="260"/>
    </row>
    <row r="18" spans="1:8" ht="15.75">
      <c r="A18" s="10" t="s">
        <v>28</v>
      </c>
      <c r="B18" s="17" t="s">
        <v>199</v>
      </c>
      <c r="C18" s="260"/>
      <c r="D18" s="260">
        <v>1681.377</v>
      </c>
      <c r="E18" s="260">
        <f t="shared" si="0"/>
        <v>1681.377</v>
      </c>
      <c r="F18" s="260"/>
    </row>
    <row r="19" spans="1:8" ht="15.75">
      <c r="A19" s="10" t="s">
        <v>28</v>
      </c>
      <c r="B19" s="17" t="s">
        <v>200</v>
      </c>
      <c r="C19" s="260"/>
      <c r="D19" s="260"/>
      <c r="E19" s="260">
        <f t="shared" si="0"/>
        <v>0</v>
      </c>
      <c r="F19" s="260"/>
    </row>
    <row r="20" spans="1:8" ht="15.75">
      <c r="A20" s="10" t="s">
        <v>28</v>
      </c>
      <c r="B20" s="17" t="s">
        <v>201</v>
      </c>
      <c r="C20" s="260"/>
      <c r="D20" s="260">
        <v>2273.0390000000002</v>
      </c>
      <c r="E20" s="260">
        <f t="shared" si="0"/>
        <v>2273.0390000000002</v>
      </c>
      <c r="F20" s="260"/>
    </row>
    <row r="21" spans="1:8" ht="15.75">
      <c r="A21" s="10" t="s">
        <v>28</v>
      </c>
      <c r="B21" s="17" t="s">
        <v>202</v>
      </c>
      <c r="C21" s="260"/>
      <c r="D21" s="260"/>
      <c r="E21" s="260">
        <f t="shared" si="0"/>
        <v>0</v>
      </c>
      <c r="F21" s="260"/>
    </row>
    <row r="22" spans="1:8" s="22" customFormat="1" ht="15.75">
      <c r="A22" s="19" t="s">
        <v>28</v>
      </c>
      <c r="B22" s="20" t="s">
        <v>152</v>
      </c>
      <c r="C22" s="261">
        <v>9036</v>
      </c>
      <c r="D22" s="261">
        <v>62793.961828</v>
      </c>
      <c r="E22" s="261">
        <f t="shared" si="0"/>
        <v>53757.961828</v>
      </c>
      <c r="F22" s="260">
        <f t="shared" si="1"/>
        <v>694.93096312527666</v>
      </c>
    </row>
    <row r="23" spans="1:8" ht="31.5">
      <c r="A23" s="10" t="s">
        <v>28</v>
      </c>
      <c r="B23" s="17" t="s">
        <v>203</v>
      </c>
      <c r="C23" s="260">
        <v>628</v>
      </c>
      <c r="D23" s="260">
        <v>3161.4660640000002</v>
      </c>
      <c r="E23" s="260">
        <f t="shared" si="0"/>
        <v>2533.4660640000002</v>
      </c>
      <c r="F23" s="260">
        <f t="shared" si="1"/>
        <v>503.41816305732488</v>
      </c>
    </row>
    <row r="24" spans="1:8" ht="15.75">
      <c r="A24" s="10" t="s">
        <v>28</v>
      </c>
      <c r="B24" s="17" t="s">
        <v>204</v>
      </c>
      <c r="C24" s="260"/>
      <c r="D24" s="260"/>
      <c r="E24" s="260"/>
      <c r="F24" s="260"/>
    </row>
    <row r="25" spans="1:8" ht="15.75">
      <c r="A25" s="10" t="s">
        <v>28</v>
      </c>
      <c r="B25" s="17" t="s">
        <v>205</v>
      </c>
      <c r="C25" s="260"/>
      <c r="D25" s="260"/>
      <c r="E25" s="260">
        <v>0</v>
      </c>
      <c r="F25" s="260"/>
    </row>
    <row r="26" spans="1:8" ht="63">
      <c r="A26" s="10">
        <v>2</v>
      </c>
      <c r="B26" s="17" t="s">
        <v>160</v>
      </c>
      <c r="C26" s="260"/>
      <c r="D26" s="260"/>
      <c r="E26" s="260">
        <v>0</v>
      </c>
      <c r="F26" s="260"/>
    </row>
    <row r="27" spans="1:8" ht="15.75">
      <c r="A27" s="10">
        <v>3</v>
      </c>
      <c r="B27" s="17" t="s">
        <v>161</v>
      </c>
      <c r="C27" s="260"/>
      <c r="D27" s="260"/>
      <c r="E27" s="260">
        <v>0</v>
      </c>
      <c r="F27" s="260"/>
    </row>
    <row r="28" spans="1:8" ht="15.75">
      <c r="A28" s="14" t="s">
        <v>31</v>
      </c>
      <c r="B28" s="15" t="s">
        <v>46</v>
      </c>
      <c r="C28" s="259">
        <f>SUM(C29:C42)</f>
        <v>288330</v>
      </c>
      <c r="D28" s="259">
        <f t="shared" ref="D28:E28" si="2">SUM(D29:D42)</f>
        <v>259113.62276300002</v>
      </c>
      <c r="E28" s="259">
        <f t="shared" si="2"/>
        <v>-29216.377236999993</v>
      </c>
      <c r="F28" s="259">
        <f t="shared" si="1"/>
        <v>89.867035259251551</v>
      </c>
    </row>
    <row r="29" spans="1:8" ht="15.75">
      <c r="A29" s="10" t="s">
        <v>28</v>
      </c>
      <c r="B29" s="85" t="s">
        <v>135</v>
      </c>
      <c r="C29" s="261">
        <v>4245.8</v>
      </c>
      <c r="D29" s="262">
        <v>1757.069</v>
      </c>
      <c r="E29" s="260">
        <f>D29-C29</f>
        <v>-2488.7310000000002</v>
      </c>
      <c r="F29" s="260">
        <f t="shared" si="1"/>
        <v>41.383696829808279</v>
      </c>
      <c r="H29" s="226"/>
    </row>
    <row r="30" spans="1:8" ht="15.75">
      <c r="A30" s="10" t="s">
        <v>28</v>
      </c>
      <c r="B30" s="85" t="s">
        <v>137</v>
      </c>
      <c r="C30" s="261">
        <v>1490</v>
      </c>
      <c r="D30" s="260">
        <v>2811.1930000000002</v>
      </c>
      <c r="E30" s="260">
        <f t="shared" ref="E30:E42" si="3">D30-C30</f>
        <v>1321.1930000000002</v>
      </c>
      <c r="F30" s="260">
        <f t="shared" si="1"/>
        <v>188.67067114093962</v>
      </c>
    </row>
    <row r="31" spans="1:8" ht="15.75">
      <c r="A31" s="10" t="s">
        <v>28</v>
      </c>
      <c r="B31" s="85" t="s">
        <v>139</v>
      </c>
      <c r="C31" s="261">
        <v>171568</v>
      </c>
      <c r="D31" s="260">
        <v>177473.002041</v>
      </c>
      <c r="E31" s="260">
        <f t="shared" si="3"/>
        <v>5905.0020409999997</v>
      </c>
      <c r="F31" s="260">
        <f t="shared" si="1"/>
        <v>103.44178520528303</v>
      </c>
    </row>
    <row r="32" spans="1:8" ht="15.75">
      <c r="A32" s="10" t="s">
        <v>28</v>
      </c>
      <c r="B32" s="85" t="s">
        <v>141</v>
      </c>
      <c r="C32" s="261">
        <v>307.7</v>
      </c>
      <c r="D32" s="260">
        <v>157.62968000000001</v>
      </c>
      <c r="E32" s="260">
        <f t="shared" si="3"/>
        <v>-150.07031999999998</v>
      </c>
      <c r="F32" s="260">
        <f t="shared" si="1"/>
        <v>51.228365290867728</v>
      </c>
    </row>
    <row r="33" spans="1:6" ht="15.75">
      <c r="A33" s="10" t="s">
        <v>28</v>
      </c>
      <c r="B33" s="85" t="s">
        <v>143</v>
      </c>
      <c r="C33" s="261">
        <v>10</v>
      </c>
      <c r="D33" s="260">
        <v>579.46</v>
      </c>
      <c r="E33" s="260">
        <f t="shared" si="3"/>
        <v>569.46</v>
      </c>
      <c r="F33" s="260">
        <f t="shared" si="1"/>
        <v>5794.6</v>
      </c>
    </row>
    <row r="34" spans="1:6" ht="15.75">
      <c r="A34" s="10" t="s">
        <v>28</v>
      </c>
      <c r="B34" s="85" t="s">
        <v>206</v>
      </c>
      <c r="C34" s="261">
        <v>1383.3</v>
      </c>
      <c r="D34" s="260">
        <v>1899.148093</v>
      </c>
      <c r="E34" s="260">
        <f t="shared" si="3"/>
        <v>515.84809300000006</v>
      </c>
      <c r="F34" s="260">
        <f t="shared" si="1"/>
        <v>137.29112217161858</v>
      </c>
    </row>
    <row r="35" spans="1:6" ht="15.75">
      <c r="A35" s="10" t="s">
        <v>28</v>
      </c>
      <c r="B35" s="85" t="s">
        <v>146</v>
      </c>
      <c r="C35" s="261">
        <v>1730.45</v>
      </c>
      <c r="D35" s="260">
        <v>1662.991405</v>
      </c>
      <c r="E35" s="260">
        <f t="shared" si="3"/>
        <v>-67.458595000000059</v>
      </c>
      <c r="F35" s="260">
        <f t="shared" si="1"/>
        <v>96.101673264179837</v>
      </c>
    </row>
    <row r="36" spans="1:6" ht="15.75">
      <c r="A36" s="10" t="s">
        <v>28</v>
      </c>
      <c r="B36" s="85" t="s">
        <v>148</v>
      </c>
      <c r="C36" s="261">
        <v>475</v>
      </c>
      <c r="D36" s="260">
        <v>444.53501199999999</v>
      </c>
      <c r="E36" s="260">
        <f t="shared" si="3"/>
        <v>-30.464988000000005</v>
      </c>
      <c r="F36" s="260">
        <f t="shared" si="1"/>
        <v>93.58631831578947</v>
      </c>
    </row>
    <row r="37" spans="1:6" ht="15.75">
      <c r="A37" s="10" t="s">
        <v>28</v>
      </c>
      <c r="B37" s="85" t="s">
        <v>150</v>
      </c>
      <c r="C37" s="261">
        <v>1847</v>
      </c>
      <c r="D37" s="260">
        <v>1713.5428549999999</v>
      </c>
      <c r="E37" s="260">
        <f t="shared" si="3"/>
        <v>-133.45714500000008</v>
      </c>
      <c r="F37" s="260">
        <f t="shared" si="1"/>
        <v>92.774383053600431</v>
      </c>
    </row>
    <row r="38" spans="1:6" ht="15.75">
      <c r="A38" s="10" t="s">
        <v>28</v>
      </c>
      <c r="B38" s="85" t="s">
        <v>152</v>
      </c>
      <c r="C38" s="261">
        <v>12086.573</v>
      </c>
      <c r="D38" s="260">
        <v>19668.927134000001</v>
      </c>
      <c r="E38" s="260">
        <f t="shared" si="3"/>
        <v>7582.3541340000011</v>
      </c>
      <c r="F38" s="260">
        <f t="shared" si="1"/>
        <v>162.73369741778751</v>
      </c>
    </row>
    <row r="39" spans="1:6" ht="31.5">
      <c r="A39" s="10" t="s">
        <v>28</v>
      </c>
      <c r="B39" s="85" t="s">
        <v>207</v>
      </c>
      <c r="C39" s="261">
        <v>78273.176999999996</v>
      </c>
      <c r="D39" s="260">
        <v>33717.351043000002</v>
      </c>
      <c r="E39" s="260">
        <f>D39-C39</f>
        <v>-44555.825956999994</v>
      </c>
      <c r="F39" s="260">
        <f t="shared" si="1"/>
        <v>43.076507604897657</v>
      </c>
    </row>
    <row r="40" spans="1:6" ht="15.75">
      <c r="A40" s="10" t="s">
        <v>28</v>
      </c>
      <c r="B40" s="85" t="s">
        <v>156</v>
      </c>
      <c r="C40" s="261">
        <v>13813</v>
      </c>
      <c r="D40" s="260">
        <v>16228.773499999999</v>
      </c>
      <c r="E40" s="260">
        <f t="shared" si="3"/>
        <v>2415.7734999999993</v>
      </c>
      <c r="F40" s="260">
        <f t="shared" si="1"/>
        <v>117.48912980525591</v>
      </c>
    </row>
    <row r="41" spans="1:6" ht="15.75">
      <c r="A41" s="10" t="s">
        <v>28</v>
      </c>
      <c r="B41" s="85" t="s">
        <v>208</v>
      </c>
      <c r="C41" s="261">
        <v>100</v>
      </c>
      <c r="D41" s="260"/>
      <c r="E41" s="260">
        <f>D41-C41</f>
        <v>-100</v>
      </c>
      <c r="F41" s="260">
        <f t="shared" si="1"/>
        <v>0</v>
      </c>
    </row>
    <row r="42" spans="1:6" ht="15.75">
      <c r="A42" s="10" t="s">
        <v>28</v>
      </c>
      <c r="B42" s="85" t="s">
        <v>393</v>
      </c>
      <c r="C42" s="261">
        <v>1000</v>
      </c>
      <c r="D42" s="260">
        <v>1000</v>
      </c>
      <c r="E42" s="260">
        <f t="shared" si="3"/>
        <v>0</v>
      </c>
      <c r="F42" s="260">
        <f t="shared" si="1"/>
        <v>100</v>
      </c>
    </row>
    <row r="43" spans="1:6" ht="31.5">
      <c r="A43" s="14" t="s">
        <v>35</v>
      </c>
      <c r="B43" s="15" t="s">
        <v>209</v>
      </c>
      <c r="C43" s="260"/>
      <c r="D43" s="260"/>
      <c r="E43" s="260"/>
      <c r="F43" s="260"/>
    </row>
    <row r="44" spans="1:6" ht="15.75">
      <c r="A44" s="14" t="s">
        <v>37</v>
      </c>
      <c r="B44" s="15" t="s">
        <v>210</v>
      </c>
      <c r="C44" s="260"/>
      <c r="D44" s="260"/>
      <c r="E44" s="260"/>
      <c r="F44" s="260"/>
    </row>
    <row r="45" spans="1:6" ht="15.75">
      <c r="A45" s="14" t="s">
        <v>39</v>
      </c>
      <c r="B45" s="15" t="s">
        <v>49</v>
      </c>
      <c r="C45" s="259">
        <v>6018</v>
      </c>
      <c r="D45" s="259"/>
      <c r="E45" s="259">
        <f>D45-C45</f>
        <v>-6018</v>
      </c>
      <c r="F45" s="259">
        <f>D45/C45*100</f>
        <v>0</v>
      </c>
    </row>
    <row r="46" spans="1:6" ht="15.75">
      <c r="A46" s="14" t="s">
        <v>56</v>
      </c>
      <c r="B46" s="15" t="s">
        <v>211</v>
      </c>
      <c r="C46" s="260"/>
      <c r="D46" s="259">
        <v>772.35249999999996</v>
      </c>
      <c r="E46" s="260"/>
      <c r="F46" s="260"/>
    </row>
    <row r="47" spans="1:6" ht="15.75">
      <c r="A47" s="14" t="s">
        <v>58</v>
      </c>
      <c r="B47" s="15" t="s">
        <v>190</v>
      </c>
      <c r="C47" s="260"/>
      <c r="D47" s="263">
        <v>124508.564511</v>
      </c>
      <c r="E47" s="260"/>
      <c r="F47" s="260"/>
    </row>
    <row r="48" spans="1:6" ht="20.25" customHeight="1">
      <c r="A48" s="42" t="s">
        <v>212</v>
      </c>
    </row>
    <row r="49" spans="1:6" s="30" customFormat="1" ht="23.25" customHeight="1">
      <c r="A49" s="86" t="s">
        <v>213</v>
      </c>
      <c r="C49" s="80"/>
      <c r="D49" s="80"/>
      <c r="E49" s="80"/>
      <c r="F49" s="80"/>
    </row>
    <row r="50" spans="1:6" ht="54" customHeight="1">
      <c r="A50" s="361" t="s">
        <v>214</v>
      </c>
      <c r="B50" s="361"/>
      <c r="C50" s="361"/>
      <c r="D50" s="361"/>
      <c r="E50" s="361"/>
      <c r="F50" s="361"/>
    </row>
  </sheetData>
  <mergeCells count="9">
    <mergeCell ref="A1:B1"/>
    <mergeCell ref="A50:F50"/>
    <mergeCell ref="A2:F2"/>
    <mergeCell ref="A3:F3"/>
    <mergeCell ref="A5:A6"/>
    <mergeCell ref="B5:B6"/>
    <mergeCell ref="C5:C6"/>
    <mergeCell ref="D5:D6"/>
    <mergeCell ref="E5:F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3"/>
  <sheetViews>
    <sheetView topLeftCell="A46" workbookViewId="0">
      <selection activeCell="I8" sqref="I8"/>
    </sheetView>
  </sheetViews>
  <sheetFormatPr defaultColWidth="8.85546875" defaultRowHeight="15.75"/>
  <cols>
    <col min="1" max="1" width="6.5703125" style="145" customWidth="1"/>
    <col min="2" max="2" width="46" style="145" customWidth="1"/>
    <col min="3" max="6" width="9.85546875" style="295" customWidth="1"/>
    <col min="7" max="7" width="10.85546875" style="295" customWidth="1"/>
    <col min="8" max="11" width="9.85546875" style="295" customWidth="1"/>
    <col min="12" max="12" width="20.140625" style="145" hidden="1" customWidth="1"/>
    <col min="13" max="13" width="15.42578125" style="145" hidden="1" customWidth="1"/>
    <col min="14" max="14" width="11.85546875" style="145" hidden="1" customWidth="1"/>
    <col min="15" max="251" width="8.85546875" style="145"/>
    <col min="252" max="252" width="6.5703125" style="145" customWidth="1"/>
    <col min="253" max="253" width="46" style="145" customWidth="1"/>
    <col min="254" max="254" width="15" style="145" customWidth="1"/>
    <col min="255" max="255" width="12.140625" style="145" customWidth="1"/>
    <col min="256" max="257" width="11.85546875" style="145" customWidth="1"/>
    <col min="258" max="258" width="11.7109375" style="145" customWidth="1"/>
    <col min="259" max="259" width="10.42578125" style="145" customWidth="1"/>
    <col min="260" max="260" width="11.140625" style="145" customWidth="1"/>
    <col min="261" max="261" width="10.140625" style="145" customWidth="1"/>
    <col min="262" max="262" width="8.85546875" style="145" customWidth="1"/>
    <col min="263" max="263" width="20.140625" style="145" bestFit="1" customWidth="1"/>
    <col min="264" max="264" width="15.42578125" style="145" customWidth="1"/>
    <col min="265" max="265" width="11.85546875" style="145" bestFit="1" customWidth="1"/>
    <col min="266" max="266" width="12.140625" style="145" bestFit="1" customWidth="1"/>
    <col min="267" max="507" width="8.85546875" style="145"/>
    <col min="508" max="508" width="6.5703125" style="145" customWidth="1"/>
    <col min="509" max="509" width="46" style="145" customWidth="1"/>
    <col min="510" max="510" width="15" style="145" customWidth="1"/>
    <col min="511" max="511" width="12.140625" style="145" customWidth="1"/>
    <col min="512" max="513" width="11.85546875" style="145" customWidth="1"/>
    <col min="514" max="514" width="11.7109375" style="145" customWidth="1"/>
    <col min="515" max="515" width="10.42578125" style="145" customWidth="1"/>
    <col min="516" max="516" width="11.140625" style="145" customWidth="1"/>
    <col min="517" max="517" width="10.140625" style="145" customWidth="1"/>
    <col min="518" max="518" width="8.85546875" style="145" customWidth="1"/>
    <col min="519" max="519" width="20.140625" style="145" bestFit="1" customWidth="1"/>
    <col min="520" max="520" width="15.42578125" style="145" customWidth="1"/>
    <col min="521" max="521" width="11.85546875" style="145" bestFit="1" customWidth="1"/>
    <col min="522" max="522" width="12.140625" style="145" bestFit="1" customWidth="1"/>
    <col min="523" max="763" width="8.85546875" style="145"/>
    <col min="764" max="764" width="6.5703125" style="145" customWidth="1"/>
    <col min="765" max="765" width="46" style="145" customWidth="1"/>
    <col min="766" max="766" width="15" style="145" customWidth="1"/>
    <col min="767" max="767" width="12.140625" style="145" customWidth="1"/>
    <col min="768" max="769" width="11.85546875" style="145" customWidth="1"/>
    <col min="770" max="770" width="11.7109375" style="145" customWidth="1"/>
    <col min="771" max="771" width="10.42578125" style="145" customWidth="1"/>
    <col min="772" max="772" width="11.140625" style="145" customWidth="1"/>
    <col min="773" max="773" width="10.140625" style="145" customWidth="1"/>
    <col min="774" max="774" width="8.85546875" style="145" customWidth="1"/>
    <col min="775" max="775" width="20.140625" style="145" bestFit="1" customWidth="1"/>
    <col min="776" max="776" width="15.42578125" style="145" customWidth="1"/>
    <col min="777" max="777" width="11.85546875" style="145" bestFit="1" customWidth="1"/>
    <col min="778" max="778" width="12.140625" style="145" bestFit="1" customWidth="1"/>
    <col min="779" max="1019" width="8.85546875" style="145"/>
    <col min="1020" max="1020" width="6.5703125" style="145" customWidth="1"/>
    <col min="1021" max="1021" width="46" style="145" customWidth="1"/>
    <col min="1022" max="1022" width="15" style="145" customWidth="1"/>
    <col min="1023" max="1023" width="12.140625" style="145" customWidth="1"/>
    <col min="1024" max="1025" width="11.85546875" style="145" customWidth="1"/>
    <col min="1026" max="1026" width="11.7109375" style="145" customWidth="1"/>
    <col min="1027" max="1027" width="10.42578125" style="145" customWidth="1"/>
    <col min="1028" max="1028" width="11.140625" style="145" customWidth="1"/>
    <col min="1029" max="1029" width="10.140625" style="145" customWidth="1"/>
    <col min="1030" max="1030" width="8.85546875" style="145" customWidth="1"/>
    <col min="1031" max="1031" width="20.140625" style="145" bestFit="1" customWidth="1"/>
    <col min="1032" max="1032" width="15.42578125" style="145" customWidth="1"/>
    <col min="1033" max="1033" width="11.85546875" style="145" bestFit="1" customWidth="1"/>
    <col min="1034" max="1034" width="12.140625" style="145" bestFit="1" customWidth="1"/>
    <col min="1035" max="1275" width="8.85546875" style="145"/>
    <col min="1276" max="1276" width="6.5703125" style="145" customWidth="1"/>
    <col min="1277" max="1277" width="46" style="145" customWidth="1"/>
    <col min="1278" max="1278" width="15" style="145" customWidth="1"/>
    <col min="1279" max="1279" width="12.140625" style="145" customWidth="1"/>
    <col min="1280" max="1281" width="11.85546875" style="145" customWidth="1"/>
    <col min="1282" max="1282" width="11.7109375" style="145" customWidth="1"/>
    <col min="1283" max="1283" width="10.42578125" style="145" customWidth="1"/>
    <col min="1284" max="1284" width="11.140625" style="145" customWidth="1"/>
    <col min="1285" max="1285" width="10.140625" style="145" customWidth="1"/>
    <col min="1286" max="1286" width="8.85546875" style="145" customWidth="1"/>
    <col min="1287" max="1287" width="20.140625" style="145" bestFit="1" customWidth="1"/>
    <col min="1288" max="1288" width="15.42578125" style="145" customWidth="1"/>
    <col min="1289" max="1289" width="11.85546875" style="145" bestFit="1" customWidth="1"/>
    <col min="1290" max="1290" width="12.140625" style="145" bestFit="1" customWidth="1"/>
    <col min="1291" max="1531" width="8.85546875" style="145"/>
    <col min="1532" max="1532" width="6.5703125" style="145" customWidth="1"/>
    <col min="1533" max="1533" width="46" style="145" customWidth="1"/>
    <col min="1534" max="1534" width="15" style="145" customWidth="1"/>
    <col min="1535" max="1535" width="12.140625" style="145" customWidth="1"/>
    <col min="1536" max="1537" width="11.85546875" style="145" customWidth="1"/>
    <col min="1538" max="1538" width="11.7109375" style="145" customWidth="1"/>
    <col min="1539" max="1539" width="10.42578125" style="145" customWidth="1"/>
    <col min="1540" max="1540" width="11.140625" style="145" customWidth="1"/>
    <col min="1541" max="1541" width="10.140625" style="145" customWidth="1"/>
    <col min="1542" max="1542" width="8.85546875" style="145" customWidth="1"/>
    <col min="1543" max="1543" width="20.140625" style="145" bestFit="1" customWidth="1"/>
    <col min="1544" max="1544" width="15.42578125" style="145" customWidth="1"/>
    <col min="1545" max="1545" width="11.85546875" style="145" bestFit="1" customWidth="1"/>
    <col min="1546" max="1546" width="12.140625" style="145" bestFit="1" customWidth="1"/>
    <col min="1547" max="1787" width="8.85546875" style="145"/>
    <col min="1788" max="1788" width="6.5703125" style="145" customWidth="1"/>
    <col min="1789" max="1789" width="46" style="145" customWidth="1"/>
    <col min="1790" max="1790" width="15" style="145" customWidth="1"/>
    <col min="1791" max="1791" width="12.140625" style="145" customWidth="1"/>
    <col min="1792" max="1793" width="11.85546875" style="145" customWidth="1"/>
    <col min="1794" max="1794" width="11.7109375" style="145" customWidth="1"/>
    <col min="1795" max="1795" width="10.42578125" style="145" customWidth="1"/>
    <col min="1796" max="1796" width="11.140625" style="145" customWidth="1"/>
    <col min="1797" max="1797" width="10.140625" style="145" customWidth="1"/>
    <col min="1798" max="1798" width="8.85546875" style="145" customWidth="1"/>
    <col min="1799" max="1799" width="20.140625" style="145" bestFit="1" customWidth="1"/>
    <col min="1800" max="1800" width="15.42578125" style="145" customWidth="1"/>
    <col min="1801" max="1801" width="11.85546875" style="145" bestFit="1" customWidth="1"/>
    <col min="1802" max="1802" width="12.140625" style="145" bestFit="1" customWidth="1"/>
    <col min="1803" max="2043" width="8.85546875" style="145"/>
    <col min="2044" max="2044" width="6.5703125" style="145" customWidth="1"/>
    <col min="2045" max="2045" width="46" style="145" customWidth="1"/>
    <col min="2046" max="2046" width="15" style="145" customWidth="1"/>
    <col min="2047" max="2047" width="12.140625" style="145" customWidth="1"/>
    <col min="2048" max="2049" width="11.85546875" style="145" customWidth="1"/>
    <col min="2050" max="2050" width="11.7109375" style="145" customWidth="1"/>
    <col min="2051" max="2051" width="10.42578125" style="145" customWidth="1"/>
    <col min="2052" max="2052" width="11.140625" style="145" customWidth="1"/>
    <col min="2053" max="2053" width="10.140625" style="145" customWidth="1"/>
    <col min="2054" max="2054" width="8.85546875" style="145" customWidth="1"/>
    <col min="2055" max="2055" width="20.140625" style="145" bestFit="1" customWidth="1"/>
    <col min="2056" max="2056" width="15.42578125" style="145" customWidth="1"/>
    <col min="2057" max="2057" width="11.85546875" style="145" bestFit="1" customWidth="1"/>
    <col min="2058" max="2058" width="12.140625" style="145" bestFit="1" customWidth="1"/>
    <col min="2059" max="2299" width="8.85546875" style="145"/>
    <col min="2300" max="2300" width="6.5703125" style="145" customWidth="1"/>
    <col min="2301" max="2301" width="46" style="145" customWidth="1"/>
    <col min="2302" max="2302" width="15" style="145" customWidth="1"/>
    <col min="2303" max="2303" width="12.140625" style="145" customWidth="1"/>
    <col min="2304" max="2305" width="11.85546875" style="145" customWidth="1"/>
    <col min="2306" max="2306" width="11.7109375" style="145" customWidth="1"/>
    <col min="2307" max="2307" width="10.42578125" style="145" customWidth="1"/>
    <col min="2308" max="2308" width="11.140625" style="145" customWidth="1"/>
    <col min="2309" max="2309" width="10.140625" style="145" customWidth="1"/>
    <col min="2310" max="2310" width="8.85546875" style="145" customWidth="1"/>
    <col min="2311" max="2311" width="20.140625" style="145" bestFit="1" customWidth="1"/>
    <col min="2312" max="2312" width="15.42578125" style="145" customWidth="1"/>
    <col min="2313" max="2313" width="11.85546875" style="145" bestFit="1" customWidth="1"/>
    <col min="2314" max="2314" width="12.140625" style="145" bestFit="1" customWidth="1"/>
    <col min="2315" max="2555" width="8.85546875" style="145"/>
    <col min="2556" max="2556" width="6.5703125" style="145" customWidth="1"/>
    <col min="2557" max="2557" width="46" style="145" customWidth="1"/>
    <col min="2558" max="2558" width="15" style="145" customWidth="1"/>
    <col min="2559" max="2559" width="12.140625" style="145" customWidth="1"/>
    <col min="2560" max="2561" width="11.85546875" style="145" customWidth="1"/>
    <col min="2562" max="2562" width="11.7109375" style="145" customWidth="1"/>
    <col min="2563" max="2563" width="10.42578125" style="145" customWidth="1"/>
    <col min="2564" max="2564" width="11.140625" style="145" customWidth="1"/>
    <col min="2565" max="2565" width="10.140625" style="145" customWidth="1"/>
    <col min="2566" max="2566" width="8.85546875" style="145" customWidth="1"/>
    <col min="2567" max="2567" width="20.140625" style="145" bestFit="1" customWidth="1"/>
    <col min="2568" max="2568" width="15.42578125" style="145" customWidth="1"/>
    <col min="2569" max="2569" width="11.85546875" style="145" bestFit="1" customWidth="1"/>
    <col min="2570" max="2570" width="12.140625" style="145" bestFit="1" customWidth="1"/>
    <col min="2571" max="2811" width="8.85546875" style="145"/>
    <col min="2812" max="2812" width="6.5703125" style="145" customWidth="1"/>
    <col min="2813" max="2813" width="46" style="145" customWidth="1"/>
    <col min="2814" max="2814" width="15" style="145" customWidth="1"/>
    <col min="2815" max="2815" width="12.140625" style="145" customWidth="1"/>
    <col min="2816" max="2817" width="11.85546875" style="145" customWidth="1"/>
    <col min="2818" max="2818" width="11.7109375" style="145" customWidth="1"/>
    <col min="2819" max="2819" width="10.42578125" style="145" customWidth="1"/>
    <col min="2820" max="2820" width="11.140625" style="145" customWidth="1"/>
    <col min="2821" max="2821" width="10.140625" style="145" customWidth="1"/>
    <col min="2822" max="2822" width="8.85546875" style="145" customWidth="1"/>
    <col min="2823" max="2823" width="20.140625" style="145" bestFit="1" customWidth="1"/>
    <col min="2824" max="2824" width="15.42578125" style="145" customWidth="1"/>
    <col min="2825" max="2825" width="11.85546875" style="145" bestFit="1" customWidth="1"/>
    <col min="2826" max="2826" width="12.140625" style="145" bestFit="1" customWidth="1"/>
    <col min="2827" max="3067" width="8.85546875" style="145"/>
    <col min="3068" max="3068" width="6.5703125" style="145" customWidth="1"/>
    <col min="3069" max="3069" width="46" style="145" customWidth="1"/>
    <col min="3070" max="3070" width="15" style="145" customWidth="1"/>
    <col min="3071" max="3071" width="12.140625" style="145" customWidth="1"/>
    <col min="3072" max="3073" width="11.85546875" style="145" customWidth="1"/>
    <col min="3074" max="3074" width="11.7109375" style="145" customWidth="1"/>
    <col min="3075" max="3075" width="10.42578125" style="145" customWidth="1"/>
    <col min="3076" max="3076" width="11.140625" style="145" customWidth="1"/>
    <col min="3077" max="3077" width="10.140625" style="145" customWidth="1"/>
    <col min="3078" max="3078" width="8.85546875" style="145" customWidth="1"/>
    <col min="3079" max="3079" width="20.140625" style="145" bestFit="1" customWidth="1"/>
    <col min="3080" max="3080" width="15.42578125" style="145" customWidth="1"/>
    <col min="3081" max="3081" width="11.85546875" style="145" bestFit="1" customWidth="1"/>
    <col min="3082" max="3082" width="12.140625" style="145" bestFit="1" customWidth="1"/>
    <col min="3083" max="3323" width="8.85546875" style="145"/>
    <col min="3324" max="3324" width="6.5703125" style="145" customWidth="1"/>
    <col min="3325" max="3325" width="46" style="145" customWidth="1"/>
    <col min="3326" max="3326" width="15" style="145" customWidth="1"/>
    <col min="3327" max="3327" width="12.140625" style="145" customWidth="1"/>
    <col min="3328" max="3329" width="11.85546875" style="145" customWidth="1"/>
    <col min="3330" max="3330" width="11.7109375" style="145" customWidth="1"/>
    <col min="3331" max="3331" width="10.42578125" style="145" customWidth="1"/>
    <col min="3332" max="3332" width="11.140625" style="145" customWidth="1"/>
    <col min="3333" max="3333" width="10.140625" style="145" customWidth="1"/>
    <col min="3334" max="3334" width="8.85546875" style="145" customWidth="1"/>
    <col min="3335" max="3335" width="20.140625" style="145" bestFit="1" customWidth="1"/>
    <col min="3336" max="3336" width="15.42578125" style="145" customWidth="1"/>
    <col min="3337" max="3337" width="11.85546875" style="145" bestFit="1" customWidth="1"/>
    <col min="3338" max="3338" width="12.140625" style="145" bestFit="1" customWidth="1"/>
    <col min="3339" max="3579" width="8.85546875" style="145"/>
    <col min="3580" max="3580" width="6.5703125" style="145" customWidth="1"/>
    <col min="3581" max="3581" width="46" style="145" customWidth="1"/>
    <col min="3582" max="3582" width="15" style="145" customWidth="1"/>
    <col min="3583" max="3583" width="12.140625" style="145" customWidth="1"/>
    <col min="3584" max="3585" width="11.85546875" style="145" customWidth="1"/>
    <col min="3586" max="3586" width="11.7109375" style="145" customWidth="1"/>
    <col min="3587" max="3587" width="10.42578125" style="145" customWidth="1"/>
    <col min="3588" max="3588" width="11.140625" style="145" customWidth="1"/>
    <col min="3589" max="3589" width="10.140625" style="145" customWidth="1"/>
    <col min="3590" max="3590" width="8.85546875" style="145" customWidth="1"/>
    <col min="3591" max="3591" width="20.140625" style="145" bestFit="1" customWidth="1"/>
    <col min="3592" max="3592" width="15.42578125" style="145" customWidth="1"/>
    <col min="3593" max="3593" width="11.85546875" style="145" bestFit="1" customWidth="1"/>
    <col min="3594" max="3594" width="12.140625" style="145" bestFit="1" customWidth="1"/>
    <col min="3595" max="3835" width="8.85546875" style="145"/>
    <col min="3836" max="3836" width="6.5703125" style="145" customWidth="1"/>
    <col min="3837" max="3837" width="46" style="145" customWidth="1"/>
    <col min="3838" max="3838" width="15" style="145" customWidth="1"/>
    <col min="3839" max="3839" width="12.140625" style="145" customWidth="1"/>
    <col min="3840" max="3841" width="11.85546875" style="145" customWidth="1"/>
    <col min="3842" max="3842" width="11.7109375" style="145" customWidth="1"/>
    <col min="3843" max="3843" width="10.42578125" style="145" customWidth="1"/>
    <col min="3844" max="3844" width="11.140625" style="145" customWidth="1"/>
    <col min="3845" max="3845" width="10.140625" style="145" customWidth="1"/>
    <col min="3846" max="3846" width="8.85546875" style="145" customWidth="1"/>
    <col min="3847" max="3847" width="20.140625" style="145" bestFit="1" customWidth="1"/>
    <col min="3848" max="3848" width="15.42578125" style="145" customWidth="1"/>
    <col min="3849" max="3849" width="11.85546875" style="145" bestFit="1" customWidth="1"/>
    <col min="3850" max="3850" width="12.140625" style="145" bestFit="1" customWidth="1"/>
    <col min="3851" max="4091" width="8.85546875" style="145"/>
    <col min="4092" max="4092" width="6.5703125" style="145" customWidth="1"/>
    <col min="4093" max="4093" width="46" style="145" customWidth="1"/>
    <col min="4094" max="4094" width="15" style="145" customWidth="1"/>
    <col min="4095" max="4095" width="12.140625" style="145" customWidth="1"/>
    <col min="4096" max="4097" width="11.85546875" style="145" customWidth="1"/>
    <col min="4098" max="4098" width="11.7109375" style="145" customWidth="1"/>
    <col min="4099" max="4099" width="10.42578125" style="145" customWidth="1"/>
    <col min="4100" max="4100" width="11.140625" style="145" customWidth="1"/>
    <col min="4101" max="4101" width="10.140625" style="145" customWidth="1"/>
    <col min="4102" max="4102" width="8.85546875" style="145" customWidth="1"/>
    <col min="4103" max="4103" width="20.140625" style="145" bestFit="1" customWidth="1"/>
    <col min="4104" max="4104" width="15.42578125" style="145" customWidth="1"/>
    <col min="4105" max="4105" width="11.85546875" style="145" bestFit="1" customWidth="1"/>
    <col min="4106" max="4106" width="12.140625" style="145" bestFit="1" customWidth="1"/>
    <col min="4107" max="4347" width="8.85546875" style="145"/>
    <col min="4348" max="4348" width="6.5703125" style="145" customWidth="1"/>
    <col min="4349" max="4349" width="46" style="145" customWidth="1"/>
    <col min="4350" max="4350" width="15" style="145" customWidth="1"/>
    <col min="4351" max="4351" width="12.140625" style="145" customWidth="1"/>
    <col min="4352" max="4353" width="11.85546875" style="145" customWidth="1"/>
    <col min="4354" max="4354" width="11.7109375" style="145" customWidth="1"/>
    <col min="4355" max="4355" width="10.42578125" style="145" customWidth="1"/>
    <col min="4356" max="4356" width="11.140625" style="145" customWidth="1"/>
    <col min="4357" max="4357" width="10.140625" style="145" customWidth="1"/>
    <col min="4358" max="4358" width="8.85546875" style="145" customWidth="1"/>
    <col min="4359" max="4359" width="20.140625" style="145" bestFit="1" customWidth="1"/>
    <col min="4360" max="4360" width="15.42578125" style="145" customWidth="1"/>
    <col min="4361" max="4361" width="11.85546875" style="145" bestFit="1" customWidth="1"/>
    <col min="4362" max="4362" width="12.140625" style="145" bestFit="1" customWidth="1"/>
    <col min="4363" max="4603" width="8.85546875" style="145"/>
    <col min="4604" max="4604" width="6.5703125" style="145" customWidth="1"/>
    <col min="4605" max="4605" width="46" style="145" customWidth="1"/>
    <col min="4606" max="4606" width="15" style="145" customWidth="1"/>
    <col min="4607" max="4607" width="12.140625" style="145" customWidth="1"/>
    <col min="4608" max="4609" width="11.85546875" style="145" customWidth="1"/>
    <col min="4610" max="4610" width="11.7109375" style="145" customWidth="1"/>
    <col min="4611" max="4611" width="10.42578125" style="145" customWidth="1"/>
    <col min="4612" max="4612" width="11.140625" style="145" customWidth="1"/>
    <col min="4613" max="4613" width="10.140625" style="145" customWidth="1"/>
    <col min="4614" max="4614" width="8.85546875" style="145" customWidth="1"/>
    <col min="4615" max="4615" width="20.140625" style="145" bestFit="1" customWidth="1"/>
    <col min="4616" max="4616" width="15.42578125" style="145" customWidth="1"/>
    <col min="4617" max="4617" width="11.85546875" style="145" bestFit="1" customWidth="1"/>
    <col min="4618" max="4618" width="12.140625" style="145" bestFit="1" customWidth="1"/>
    <col min="4619" max="4859" width="8.85546875" style="145"/>
    <col min="4860" max="4860" width="6.5703125" style="145" customWidth="1"/>
    <col min="4861" max="4861" width="46" style="145" customWidth="1"/>
    <col min="4862" max="4862" width="15" style="145" customWidth="1"/>
    <col min="4863" max="4863" width="12.140625" style="145" customWidth="1"/>
    <col min="4864" max="4865" width="11.85546875" style="145" customWidth="1"/>
    <col min="4866" max="4866" width="11.7109375" style="145" customWidth="1"/>
    <col min="4867" max="4867" width="10.42578125" style="145" customWidth="1"/>
    <col min="4868" max="4868" width="11.140625" style="145" customWidth="1"/>
    <col min="4869" max="4869" width="10.140625" style="145" customWidth="1"/>
    <col min="4870" max="4870" width="8.85546875" style="145" customWidth="1"/>
    <col min="4871" max="4871" width="20.140625" style="145" bestFit="1" customWidth="1"/>
    <col min="4872" max="4872" width="15.42578125" style="145" customWidth="1"/>
    <col min="4873" max="4873" width="11.85546875" style="145" bestFit="1" customWidth="1"/>
    <col min="4874" max="4874" width="12.140625" style="145" bestFit="1" customWidth="1"/>
    <col min="4875" max="5115" width="8.85546875" style="145"/>
    <col min="5116" max="5116" width="6.5703125" style="145" customWidth="1"/>
    <col min="5117" max="5117" width="46" style="145" customWidth="1"/>
    <col min="5118" max="5118" width="15" style="145" customWidth="1"/>
    <col min="5119" max="5119" width="12.140625" style="145" customWidth="1"/>
    <col min="5120" max="5121" width="11.85546875" style="145" customWidth="1"/>
    <col min="5122" max="5122" width="11.7109375" style="145" customWidth="1"/>
    <col min="5123" max="5123" width="10.42578125" style="145" customWidth="1"/>
    <col min="5124" max="5124" width="11.140625" style="145" customWidth="1"/>
    <col min="5125" max="5125" width="10.140625" style="145" customWidth="1"/>
    <col min="5126" max="5126" width="8.85546875" style="145" customWidth="1"/>
    <col min="5127" max="5127" width="20.140625" style="145" bestFit="1" customWidth="1"/>
    <col min="5128" max="5128" width="15.42578125" style="145" customWidth="1"/>
    <col min="5129" max="5129" width="11.85546875" style="145" bestFit="1" customWidth="1"/>
    <col min="5130" max="5130" width="12.140625" style="145" bestFit="1" customWidth="1"/>
    <col min="5131" max="5371" width="8.85546875" style="145"/>
    <col min="5372" max="5372" width="6.5703125" style="145" customWidth="1"/>
    <col min="5373" max="5373" width="46" style="145" customWidth="1"/>
    <col min="5374" max="5374" width="15" style="145" customWidth="1"/>
    <col min="5375" max="5375" width="12.140625" style="145" customWidth="1"/>
    <col min="5376" max="5377" width="11.85546875" style="145" customWidth="1"/>
    <col min="5378" max="5378" width="11.7109375" style="145" customWidth="1"/>
    <col min="5379" max="5379" width="10.42578125" style="145" customWidth="1"/>
    <col min="5380" max="5380" width="11.140625" style="145" customWidth="1"/>
    <col min="5381" max="5381" width="10.140625" style="145" customWidth="1"/>
    <col min="5382" max="5382" width="8.85546875" style="145" customWidth="1"/>
    <col min="5383" max="5383" width="20.140625" style="145" bestFit="1" customWidth="1"/>
    <col min="5384" max="5384" width="15.42578125" style="145" customWidth="1"/>
    <col min="5385" max="5385" width="11.85546875" style="145" bestFit="1" customWidth="1"/>
    <col min="5386" max="5386" width="12.140625" style="145" bestFit="1" customWidth="1"/>
    <col min="5387" max="5627" width="8.85546875" style="145"/>
    <col min="5628" max="5628" width="6.5703125" style="145" customWidth="1"/>
    <col min="5629" max="5629" width="46" style="145" customWidth="1"/>
    <col min="5630" max="5630" width="15" style="145" customWidth="1"/>
    <col min="5631" max="5631" width="12.140625" style="145" customWidth="1"/>
    <col min="5632" max="5633" width="11.85546875" style="145" customWidth="1"/>
    <col min="5634" max="5634" width="11.7109375" style="145" customWidth="1"/>
    <col min="5635" max="5635" width="10.42578125" style="145" customWidth="1"/>
    <col min="5636" max="5636" width="11.140625" style="145" customWidth="1"/>
    <col min="5637" max="5637" width="10.140625" style="145" customWidth="1"/>
    <col min="5638" max="5638" width="8.85546875" style="145" customWidth="1"/>
    <col min="5639" max="5639" width="20.140625" style="145" bestFit="1" customWidth="1"/>
    <col min="5640" max="5640" width="15.42578125" style="145" customWidth="1"/>
    <col min="5641" max="5641" width="11.85546875" style="145" bestFit="1" customWidth="1"/>
    <col min="5642" max="5642" width="12.140625" style="145" bestFit="1" customWidth="1"/>
    <col min="5643" max="5883" width="8.85546875" style="145"/>
    <col min="5884" max="5884" width="6.5703125" style="145" customWidth="1"/>
    <col min="5885" max="5885" width="46" style="145" customWidth="1"/>
    <col min="5886" max="5886" width="15" style="145" customWidth="1"/>
    <col min="5887" max="5887" width="12.140625" style="145" customWidth="1"/>
    <col min="5888" max="5889" width="11.85546875" style="145" customWidth="1"/>
    <col min="5890" max="5890" width="11.7109375" style="145" customWidth="1"/>
    <col min="5891" max="5891" width="10.42578125" style="145" customWidth="1"/>
    <col min="5892" max="5892" width="11.140625" style="145" customWidth="1"/>
    <col min="5893" max="5893" width="10.140625" style="145" customWidth="1"/>
    <col min="5894" max="5894" width="8.85546875" style="145" customWidth="1"/>
    <col min="5895" max="5895" width="20.140625" style="145" bestFit="1" customWidth="1"/>
    <col min="5896" max="5896" width="15.42578125" style="145" customWidth="1"/>
    <col min="5897" max="5897" width="11.85546875" style="145" bestFit="1" customWidth="1"/>
    <col min="5898" max="5898" width="12.140625" style="145" bestFit="1" customWidth="1"/>
    <col min="5899" max="6139" width="8.85546875" style="145"/>
    <col min="6140" max="6140" width="6.5703125" style="145" customWidth="1"/>
    <col min="6141" max="6141" width="46" style="145" customWidth="1"/>
    <col min="6142" max="6142" width="15" style="145" customWidth="1"/>
    <col min="6143" max="6143" width="12.140625" style="145" customWidth="1"/>
    <col min="6144" max="6145" width="11.85546875" style="145" customWidth="1"/>
    <col min="6146" max="6146" width="11.7109375" style="145" customWidth="1"/>
    <col min="6147" max="6147" width="10.42578125" style="145" customWidth="1"/>
    <col min="6148" max="6148" width="11.140625" style="145" customWidth="1"/>
    <col min="6149" max="6149" width="10.140625" style="145" customWidth="1"/>
    <col min="6150" max="6150" width="8.85546875" style="145" customWidth="1"/>
    <col min="6151" max="6151" width="20.140625" style="145" bestFit="1" customWidth="1"/>
    <col min="6152" max="6152" width="15.42578125" style="145" customWidth="1"/>
    <col min="6153" max="6153" width="11.85546875" style="145" bestFit="1" customWidth="1"/>
    <col min="6154" max="6154" width="12.140625" style="145" bestFit="1" customWidth="1"/>
    <col min="6155" max="6395" width="8.85546875" style="145"/>
    <col min="6396" max="6396" width="6.5703125" style="145" customWidth="1"/>
    <col min="6397" max="6397" width="46" style="145" customWidth="1"/>
    <col min="6398" max="6398" width="15" style="145" customWidth="1"/>
    <col min="6399" max="6399" width="12.140625" style="145" customWidth="1"/>
    <col min="6400" max="6401" width="11.85546875" style="145" customWidth="1"/>
    <col min="6402" max="6402" width="11.7109375" style="145" customWidth="1"/>
    <col min="6403" max="6403" width="10.42578125" style="145" customWidth="1"/>
    <col min="6404" max="6404" width="11.140625" style="145" customWidth="1"/>
    <col min="6405" max="6405" width="10.140625" style="145" customWidth="1"/>
    <col min="6406" max="6406" width="8.85546875" style="145" customWidth="1"/>
    <col min="6407" max="6407" width="20.140625" style="145" bestFit="1" customWidth="1"/>
    <col min="6408" max="6408" width="15.42578125" style="145" customWidth="1"/>
    <col min="6409" max="6409" width="11.85546875" style="145" bestFit="1" customWidth="1"/>
    <col min="6410" max="6410" width="12.140625" style="145" bestFit="1" customWidth="1"/>
    <col min="6411" max="6651" width="8.85546875" style="145"/>
    <col min="6652" max="6652" width="6.5703125" style="145" customWidth="1"/>
    <col min="6653" max="6653" width="46" style="145" customWidth="1"/>
    <col min="6654" max="6654" width="15" style="145" customWidth="1"/>
    <col min="6655" max="6655" width="12.140625" style="145" customWidth="1"/>
    <col min="6656" max="6657" width="11.85546875" style="145" customWidth="1"/>
    <col min="6658" max="6658" width="11.7109375" style="145" customWidth="1"/>
    <col min="6659" max="6659" width="10.42578125" style="145" customWidth="1"/>
    <col min="6660" max="6660" width="11.140625" style="145" customWidth="1"/>
    <col min="6661" max="6661" width="10.140625" style="145" customWidth="1"/>
    <col min="6662" max="6662" width="8.85546875" style="145" customWidth="1"/>
    <col min="6663" max="6663" width="20.140625" style="145" bestFit="1" customWidth="1"/>
    <col min="6664" max="6664" width="15.42578125" style="145" customWidth="1"/>
    <col min="6665" max="6665" width="11.85546875" style="145" bestFit="1" customWidth="1"/>
    <col min="6666" max="6666" width="12.140625" style="145" bestFit="1" customWidth="1"/>
    <col min="6667" max="6907" width="8.85546875" style="145"/>
    <col min="6908" max="6908" width="6.5703125" style="145" customWidth="1"/>
    <col min="6909" max="6909" width="46" style="145" customWidth="1"/>
    <col min="6910" max="6910" width="15" style="145" customWidth="1"/>
    <col min="6911" max="6911" width="12.140625" style="145" customWidth="1"/>
    <col min="6912" max="6913" width="11.85546875" style="145" customWidth="1"/>
    <col min="6914" max="6914" width="11.7109375" style="145" customWidth="1"/>
    <col min="6915" max="6915" width="10.42578125" style="145" customWidth="1"/>
    <col min="6916" max="6916" width="11.140625" style="145" customWidth="1"/>
    <col min="6917" max="6917" width="10.140625" style="145" customWidth="1"/>
    <col min="6918" max="6918" width="8.85546875" style="145" customWidth="1"/>
    <col min="6919" max="6919" width="20.140625" style="145" bestFit="1" customWidth="1"/>
    <col min="6920" max="6920" width="15.42578125" style="145" customWidth="1"/>
    <col min="6921" max="6921" width="11.85546875" style="145" bestFit="1" customWidth="1"/>
    <col min="6922" max="6922" width="12.140625" style="145" bestFit="1" customWidth="1"/>
    <col min="6923" max="7163" width="8.85546875" style="145"/>
    <col min="7164" max="7164" width="6.5703125" style="145" customWidth="1"/>
    <col min="7165" max="7165" width="46" style="145" customWidth="1"/>
    <col min="7166" max="7166" width="15" style="145" customWidth="1"/>
    <col min="7167" max="7167" width="12.140625" style="145" customWidth="1"/>
    <col min="7168" max="7169" width="11.85546875" style="145" customWidth="1"/>
    <col min="7170" max="7170" width="11.7109375" style="145" customWidth="1"/>
    <col min="7171" max="7171" width="10.42578125" style="145" customWidth="1"/>
    <col min="7172" max="7172" width="11.140625" style="145" customWidth="1"/>
    <col min="7173" max="7173" width="10.140625" style="145" customWidth="1"/>
    <col min="7174" max="7174" width="8.85546875" style="145" customWidth="1"/>
    <col min="7175" max="7175" width="20.140625" style="145" bestFit="1" customWidth="1"/>
    <col min="7176" max="7176" width="15.42578125" style="145" customWidth="1"/>
    <col min="7177" max="7177" width="11.85546875" style="145" bestFit="1" customWidth="1"/>
    <col min="7178" max="7178" width="12.140625" style="145" bestFit="1" customWidth="1"/>
    <col min="7179" max="7419" width="8.85546875" style="145"/>
    <col min="7420" max="7420" width="6.5703125" style="145" customWidth="1"/>
    <col min="7421" max="7421" width="46" style="145" customWidth="1"/>
    <col min="7422" max="7422" width="15" style="145" customWidth="1"/>
    <col min="7423" max="7423" width="12.140625" style="145" customWidth="1"/>
    <col min="7424" max="7425" width="11.85546875" style="145" customWidth="1"/>
    <col min="7426" max="7426" width="11.7109375" style="145" customWidth="1"/>
    <col min="7427" max="7427" width="10.42578125" style="145" customWidth="1"/>
    <col min="7428" max="7428" width="11.140625" style="145" customWidth="1"/>
    <col min="7429" max="7429" width="10.140625" style="145" customWidth="1"/>
    <col min="7430" max="7430" width="8.85546875" style="145" customWidth="1"/>
    <col min="7431" max="7431" width="20.140625" style="145" bestFit="1" customWidth="1"/>
    <col min="7432" max="7432" width="15.42578125" style="145" customWidth="1"/>
    <col min="7433" max="7433" width="11.85546875" style="145" bestFit="1" customWidth="1"/>
    <col min="7434" max="7434" width="12.140625" style="145" bestFit="1" customWidth="1"/>
    <col min="7435" max="7675" width="8.85546875" style="145"/>
    <col min="7676" max="7676" width="6.5703125" style="145" customWidth="1"/>
    <col min="7677" max="7677" width="46" style="145" customWidth="1"/>
    <col min="7678" max="7678" width="15" style="145" customWidth="1"/>
    <col min="7679" max="7679" width="12.140625" style="145" customWidth="1"/>
    <col min="7680" max="7681" width="11.85546875" style="145" customWidth="1"/>
    <col min="7682" max="7682" width="11.7109375" style="145" customWidth="1"/>
    <col min="7683" max="7683" width="10.42578125" style="145" customWidth="1"/>
    <col min="7684" max="7684" width="11.140625" style="145" customWidth="1"/>
    <col min="7685" max="7685" width="10.140625" style="145" customWidth="1"/>
    <col min="7686" max="7686" width="8.85546875" style="145" customWidth="1"/>
    <col min="7687" max="7687" width="20.140625" style="145" bestFit="1" customWidth="1"/>
    <col min="7688" max="7688" width="15.42578125" style="145" customWidth="1"/>
    <col min="7689" max="7689" width="11.85546875" style="145" bestFit="1" customWidth="1"/>
    <col min="7690" max="7690" width="12.140625" style="145" bestFit="1" customWidth="1"/>
    <col min="7691" max="7931" width="8.85546875" style="145"/>
    <col min="7932" max="7932" width="6.5703125" style="145" customWidth="1"/>
    <col min="7933" max="7933" width="46" style="145" customWidth="1"/>
    <col min="7934" max="7934" width="15" style="145" customWidth="1"/>
    <col min="7935" max="7935" width="12.140625" style="145" customWidth="1"/>
    <col min="7936" max="7937" width="11.85546875" style="145" customWidth="1"/>
    <col min="7938" max="7938" width="11.7109375" style="145" customWidth="1"/>
    <col min="7939" max="7939" width="10.42578125" style="145" customWidth="1"/>
    <col min="7940" max="7940" width="11.140625" style="145" customWidth="1"/>
    <col min="7941" max="7941" width="10.140625" style="145" customWidth="1"/>
    <col min="7942" max="7942" width="8.85546875" style="145" customWidth="1"/>
    <col min="7943" max="7943" width="20.140625" style="145" bestFit="1" customWidth="1"/>
    <col min="7944" max="7944" width="15.42578125" style="145" customWidth="1"/>
    <col min="7945" max="7945" width="11.85546875" style="145" bestFit="1" customWidth="1"/>
    <col min="7946" max="7946" width="12.140625" style="145" bestFit="1" customWidth="1"/>
    <col min="7947" max="8187" width="8.85546875" style="145"/>
    <col min="8188" max="8188" width="6.5703125" style="145" customWidth="1"/>
    <col min="8189" max="8189" width="46" style="145" customWidth="1"/>
    <col min="8190" max="8190" width="15" style="145" customWidth="1"/>
    <col min="8191" max="8191" width="12.140625" style="145" customWidth="1"/>
    <col min="8192" max="8193" width="11.85546875" style="145" customWidth="1"/>
    <col min="8194" max="8194" width="11.7109375" style="145" customWidth="1"/>
    <col min="8195" max="8195" width="10.42578125" style="145" customWidth="1"/>
    <col min="8196" max="8196" width="11.140625" style="145" customWidth="1"/>
    <col min="8197" max="8197" width="10.140625" style="145" customWidth="1"/>
    <col min="8198" max="8198" width="8.85546875" style="145" customWidth="1"/>
    <col min="8199" max="8199" width="20.140625" style="145" bestFit="1" customWidth="1"/>
    <col min="8200" max="8200" width="15.42578125" style="145" customWidth="1"/>
    <col min="8201" max="8201" width="11.85546875" style="145" bestFit="1" customWidth="1"/>
    <col min="8202" max="8202" width="12.140625" style="145" bestFit="1" customWidth="1"/>
    <col min="8203" max="8443" width="8.85546875" style="145"/>
    <col min="8444" max="8444" width="6.5703125" style="145" customWidth="1"/>
    <col min="8445" max="8445" width="46" style="145" customWidth="1"/>
    <col min="8446" max="8446" width="15" style="145" customWidth="1"/>
    <col min="8447" max="8447" width="12.140625" style="145" customWidth="1"/>
    <col min="8448" max="8449" width="11.85546875" style="145" customWidth="1"/>
    <col min="8450" max="8450" width="11.7109375" style="145" customWidth="1"/>
    <col min="8451" max="8451" width="10.42578125" style="145" customWidth="1"/>
    <col min="8452" max="8452" width="11.140625" style="145" customWidth="1"/>
    <col min="8453" max="8453" width="10.140625" style="145" customWidth="1"/>
    <col min="8454" max="8454" width="8.85546875" style="145" customWidth="1"/>
    <col min="8455" max="8455" width="20.140625" style="145" bestFit="1" customWidth="1"/>
    <col min="8456" max="8456" width="15.42578125" style="145" customWidth="1"/>
    <col min="8457" max="8457" width="11.85546875" style="145" bestFit="1" customWidth="1"/>
    <col min="8458" max="8458" width="12.140625" style="145" bestFit="1" customWidth="1"/>
    <col min="8459" max="8699" width="8.85546875" style="145"/>
    <col min="8700" max="8700" width="6.5703125" style="145" customWidth="1"/>
    <col min="8701" max="8701" width="46" style="145" customWidth="1"/>
    <col min="8702" max="8702" width="15" style="145" customWidth="1"/>
    <col min="8703" max="8703" width="12.140625" style="145" customWidth="1"/>
    <col min="8704" max="8705" width="11.85546875" style="145" customWidth="1"/>
    <col min="8706" max="8706" width="11.7109375" style="145" customWidth="1"/>
    <col min="8707" max="8707" width="10.42578125" style="145" customWidth="1"/>
    <col min="8708" max="8708" width="11.140625" style="145" customWidth="1"/>
    <col min="8709" max="8709" width="10.140625" style="145" customWidth="1"/>
    <col min="8710" max="8710" width="8.85546875" style="145" customWidth="1"/>
    <col min="8711" max="8711" width="20.140625" style="145" bestFit="1" customWidth="1"/>
    <col min="8712" max="8712" width="15.42578125" style="145" customWidth="1"/>
    <col min="8713" max="8713" width="11.85546875" style="145" bestFit="1" customWidth="1"/>
    <col min="8714" max="8714" width="12.140625" style="145" bestFit="1" customWidth="1"/>
    <col min="8715" max="8955" width="8.85546875" style="145"/>
    <col min="8956" max="8956" width="6.5703125" style="145" customWidth="1"/>
    <col min="8957" max="8957" width="46" style="145" customWidth="1"/>
    <col min="8958" max="8958" width="15" style="145" customWidth="1"/>
    <col min="8959" max="8959" width="12.140625" style="145" customWidth="1"/>
    <col min="8960" max="8961" width="11.85546875" style="145" customWidth="1"/>
    <col min="8962" max="8962" width="11.7109375" style="145" customWidth="1"/>
    <col min="8963" max="8963" width="10.42578125" style="145" customWidth="1"/>
    <col min="8964" max="8964" width="11.140625" style="145" customWidth="1"/>
    <col min="8965" max="8965" width="10.140625" style="145" customWidth="1"/>
    <col min="8966" max="8966" width="8.85546875" style="145" customWidth="1"/>
    <col min="8967" max="8967" width="20.140625" style="145" bestFit="1" customWidth="1"/>
    <col min="8968" max="8968" width="15.42578125" style="145" customWidth="1"/>
    <col min="8969" max="8969" width="11.85546875" style="145" bestFit="1" customWidth="1"/>
    <col min="8970" max="8970" width="12.140625" style="145" bestFit="1" customWidth="1"/>
    <col min="8971" max="9211" width="8.85546875" style="145"/>
    <col min="9212" max="9212" width="6.5703125" style="145" customWidth="1"/>
    <col min="9213" max="9213" width="46" style="145" customWidth="1"/>
    <col min="9214" max="9214" width="15" style="145" customWidth="1"/>
    <col min="9215" max="9215" width="12.140625" style="145" customWidth="1"/>
    <col min="9216" max="9217" width="11.85546875" style="145" customWidth="1"/>
    <col min="9218" max="9218" width="11.7109375" style="145" customWidth="1"/>
    <col min="9219" max="9219" width="10.42578125" style="145" customWidth="1"/>
    <col min="9220" max="9220" width="11.140625" style="145" customWidth="1"/>
    <col min="9221" max="9221" width="10.140625" style="145" customWidth="1"/>
    <col min="9222" max="9222" width="8.85546875" style="145" customWidth="1"/>
    <col min="9223" max="9223" width="20.140625" style="145" bestFit="1" customWidth="1"/>
    <col min="9224" max="9224" width="15.42578125" style="145" customWidth="1"/>
    <col min="9225" max="9225" width="11.85546875" style="145" bestFit="1" customWidth="1"/>
    <col min="9226" max="9226" width="12.140625" style="145" bestFit="1" customWidth="1"/>
    <col min="9227" max="9467" width="8.85546875" style="145"/>
    <col min="9468" max="9468" width="6.5703125" style="145" customWidth="1"/>
    <col min="9469" max="9469" width="46" style="145" customWidth="1"/>
    <col min="9470" max="9470" width="15" style="145" customWidth="1"/>
    <col min="9471" max="9471" width="12.140625" style="145" customWidth="1"/>
    <col min="9472" max="9473" width="11.85546875" style="145" customWidth="1"/>
    <col min="9474" max="9474" width="11.7109375" style="145" customWidth="1"/>
    <col min="9475" max="9475" width="10.42578125" style="145" customWidth="1"/>
    <col min="9476" max="9476" width="11.140625" style="145" customWidth="1"/>
    <col min="9477" max="9477" width="10.140625" style="145" customWidth="1"/>
    <col min="9478" max="9478" width="8.85546875" style="145" customWidth="1"/>
    <col min="9479" max="9479" width="20.140625" style="145" bestFit="1" customWidth="1"/>
    <col min="9480" max="9480" width="15.42578125" style="145" customWidth="1"/>
    <col min="9481" max="9481" width="11.85546875" style="145" bestFit="1" customWidth="1"/>
    <col min="9482" max="9482" width="12.140625" style="145" bestFit="1" customWidth="1"/>
    <col min="9483" max="9723" width="8.85546875" style="145"/>
    <col min="9724" max="9724" width="6.5703125" style="145" customWidth="1"/>
    <col min="9725" max="9725" width="46" style="145" customWidth="1"/>
    <col min="9726" max="9726" width="15" style="145" customWidth="1"/>
    <col min="9727" max="9727" width="12.140625" style="145" customWidth="1"/>
    <col min="9728" max="9729" width="11.85546875" style="145" customWidth="1"/>
    <col min="9730" max="9730" width="11.7109375" style="145" customWidth="1"/>
    <col min="9731" max="9731" width="10.42578125" style="145" customWidth="1"/>
    <col min="9732" max="9732" width="11.140625" style="145" customWidth="1"/>
    <col min="9733" max="9733" width="10.140625" style="145" customWidth="1"/>
    <col min="9734" max="9734" width="8.85546875" style="145" customWidth="1"/>
    <col min="9735" max="9735" width="20.140625" style="145" bestFit="1" customWidth="1"/>
    <col min="9736" max="9736" width="15.42578125" style="145" customWidth="1"/>
    <col min="9737" max="9737" width="11.85546875" style="145" bestFit="1" customWidth="1"/>
    <col min="9738" max="9738" width="12.140625" style="145" bestFit="1" customWidth="1"/>
    <col min="9739" max="9979" width="8.85546875" style="145"/>
    <col min="9980" max="9980" width="6.5703125" style="145" customWidth="1"/>
    <col min="9981" max="9981" width="46" style="145" customWidth="1"/>
    <col min="9982" max="9982" width="15" style="145" customWidth="1"/>
    <col min="9983" max="9983" width="12.140625" style="145" customWidth="1"/>
    <col min="9984" max="9985" width="11.85546875" style="145" customWidth="1"/>
    <col min="9986" max="9986" width="11.7109375" style="145" customWidth="1"/>
    <col min="9987" max="9987" width="10.42578125" style="145" customWidth="1"/>
    <col min="9988" max="9988" width="11.140625" style="145" customWidth="1"/>
    <col min="9989" max="9989" width="10.140625" style="145" customWidth="1"/>
    <col min="9990" max="9990" width="8.85546875" style="145" customWidth="1"/>
    <col min="9991" max="9991" width="20.140625" style="145" bestFit="1" customWidth="1"/>
    <col min="9992" max="9992" width="15.42578125" style="145" customWidth="1"/>
    <col min="9993" max="9993" width="11.85546875" style="145" bestFit="1" customWidth="1"/>
    <col min="9994" max="9994" width="12.140625" style="145" bestFit="1" customWidth="1"/>
    <col min="9995" max="10235" width="8.85546875" style="145"/>
    <col min="10236" max="10236" width="6.5703125" style="145" customWidth="1"/>
    <col min="10237" max="10237" width="46" style="145" customWidth="1"/>
    <col min="10238" max="10238" width="15" style="145" customWidth="1"/>
    <col min="10239" max="10239" width="12.140625" style="145" customWidth="1"/>
    <col min="10240" max="10241" width="11.85546875" style="145" customWidth="1"/>
    <col min="10242" max="10242" width="11.7109375" style="145" customWidth="1"/>
    <col min="10243" max="10243" width="10.42578125" style="145" customWidth="1"/>
    <col min="10244" max="10244" width="11.140625" style="145" customWidth="1"/>
    <col min="10245" max="10245" width="10.140625" style="145" customWidth="1"/>
    <col min="10246" max="10246" width="8.85546875" style="145" customWidth="1"/>
    <col min="10247" max="10247" width="20.140625" style="145" bestFit="1" customWidth="1"/>
    <col min="10248" max="10248" width="15.42578125" style="145" customWidth="1"/>
    <col min="10249" max="10249" width="11.85546875" style="145" bestFit="1" customWidth="1"/>
    <col min="10250" max="10250" width="12.140625" style="145" bestFit="1" customWidth="1"/>
    <col min="10251" max="10491" width="8.85546875" style="145"/>
    <col min="10492" max="10492" width="6.5703125" style="145" customWidth="1"/>
    <col min="10493" max="10493" width="46" style="145" customWidth="1"/>
    <col min="10494" max="10494" width="15" style="145" customWidth="1"/>
    <col min="10495" max="10495" width="12.140625" style="145" customWidth="1"/>
    <col min="10496" max="10497" width="11.85546875" style="145" customWidth="1"/>
    <col min="10498" max="10498" width="11.7109375" style="145" customWidth="1"/>
    <col min="10499" max="10499" width="10.42578125" style="145" customWidth="1"/>
    <col min="10500" max="10500" width="11.140625" style="145" customWidth="1"/>
    <col min="10501" max="10501" width="10.140625" style="145" customWidth="1"/>
    <col min="10502" max="10502" width="8.85546875" style="145" customWidth="1"/>
    <col min="10503" max="10503" width="20.140625" style="145" bestFit="1" customWidth="1"/>
    <col min="10504" max="10504" width="15.42578125" style="145" customWidth="1"/>
    <col min="10505" max="10505" width="11.85546875" style="145" bestFit="1" customWidth="1"/>
    <col min="10506" max="10506" width="12.140625" style="145" bestFit="1" customWidth="1"/>
    <col min="10507" max="10747" width="8.85546875" style="145"/>
    <col min="10748" max="10748" width="6.5703125" style="145" customWidth="1"/>
    <col min="10749" max="10749" width="46" style="145" customWidth="1"/>
    <col min="10750" max="10750" width="15" style="145" customWidth="1"/>
    <col min="10751" max="10751" width="12.140625" style="145" customWidth="1"/>
    <col min="10752" max="10753" width="11.85546875" style="145" customWidth="1"/>
    <col min="10754" max="10754" width="11.7109375" style="145" customWidth="1"/>
    <col min="10755" max="10755" width="10.42578125" style="145" customWidth="1"/>
    <col min="10756" max="10756" width="11.140625" style="145" customWidth="1"/>
    <col min="10757" max="10757" width="10.140625" style="145" customWidth="1"/>
    <col min="10758" max="10758" width="8.85546875" style="145" customWidth="1"/>
    <col min="10759" max="10759" width="20.140625" style="145" bestFit="1" customWidth="1"/>
    <col min="10760" max="10760" width="15.42578125" style="145" customWidth="1"/>
    <col min="10761" max="10761" width="11.85546875" style="145" bestFit="1" customWidth="1"/>
    <col min="10762" max="10762" width="12.140625" style="145" bestFit="1" customWidth="1"/>
    <col min="10763" max="11003" width="8.85546875" style="145"/>
    <col min="11004" max="11004" width="6.5703125" style="145" customWidth="1"/>
    <col min="11005" max="11005" width="46" style="145" customWidth="1"/>
    <col min="11006" max="11006" width="15" style="145" customWidth="1"/>
    <col min="11007" max="11007" width="12.140625" style="145" customWidth="1"/>
    <col min="11008" max="11009" width="11.85546875" style="145" customWidth="1"/>
    <col min="11010" max="11010" width="11.7109375" style="145" customWidth="1"/>
    <col min="11011" max="11011" width="10.42578125" style="145" customWidth="1"/>
    <col min="11012" max="11012" width="11.140625" style="145" customWidth="1"/>
    <col min="11013" max="11013" width="10.140625" style="145" customWidth="1"/>
    <col min="11014" max="11014" width="8.85546875" style="145" customWidth="1"/>
    <col min="11015" max="11015" width="20.140625" style="145" bestFit="1" customWidth="1"/>
    <col min="11016" max="11016" width="15.42578125" style="145" customWidth="1"/>
    <col min="11017" max="11017" width="11.85546875" style="145" bestFit="1" customWidth="1"/>
    <col min="11018" max="11018" width="12.140625" style="145" bestFit="1" customWidth="1"/>
    <col min="11019" max="11259" width="8.85546875" style="145"/>
    <col min="11260" max="11260" width="6.5703125" style="145" customWidth="1"/>
    <col min="11261" max="11261" width="46" style="145" customWidth="1"/>
    <col min="11262" max="11262" width="15" style="145" customWidth="1"/>
    <col min="11263" max="11263" width="12.140625" style="145" customWidth="1"/>
    <col min="11264" max="11265" width="11.85546875" style="145" customWidth="1"/>
    <col min="11266" max="11266" width="11.7109375" style="145" customWidth="1"/>
    <col min="11267" max="11267" width="10.42578125" style="145" customWidth="1"/>
    <col min="11268" max="11268" width="11.140625" style="145" customWidth="1"/>
    <col min="11269" max="11269" width="10.140625" style="145" customWidth="1"/>
    <col min="11270" max="11270" width="8.85546875" style="145" customWidth="1"/>
    <col min="11271" max="11271" width="20.140625" style="145" bestFit="1" customWidth="1"/>
    <col min="11272" max="11272" width="15.42578125" style="145" customWidth="1"/>
    <col min="11273" max="11273" width="11.85546875" style="145" bestFit="1" customWidth="1"/>
    <col min="11274" max="11274" width="12.140625" style="145" bestFit="1" customWidth="1"/>
    <col min="11275" max="11515" width="8.85546875" style="145"/>
    <col min="11516" max="11516" width="6.5703125" style="145" customWidth="1"/>
    <col min="11517" max="11517" width="46" style="145" customWidth="1"/>
    <col min="11518" max="11518" width="15" style="145" customWidth="1"/>
    <col min="11519" max="11519" width="12.140625" style="145" customWidth="1"/>
    <col min="11520" max="11521" width="11.85546875" style="145" customWidth="1"/>
    <col min="11522" max="11522" width="11.7109375" style="145" customWidth="1"/>
    <col min="11523" max="11523" width="10.42578125" style="145" customWidth="1"/>
    <col min="11524" max="11524" width="11.140625" style="145" customWidth="1"/>
    <col min="11525" max="11525" width="10.140625" style="145" customWidth="1"/>
    <col min="11526" max="11526" width="8.85546875" style="145" customWidth="1"/>
    <col min="11527" max="11527" width="20.140625" style="145" bestFit="1" customWidth="1"/>
    <col min="11528" max="11528" width="15.42578125" style="145" customWidth="1"/>
    <col min="11529" max="11529" width="11.85546875" style="145" bestFit="1" customWidth="1"/>
    <col min="11530" max="11530" width="12.140625" style="145" bestFit="1" customWidth="1"/>
    <col min="11531" max="11771" width="8.85546875" style="145"/>
    <col min="11772" max="11772" width="6.5703125" style="145" customWidth="1"/>
    <col min="11773" max="11773" width="46" style="145" customWidth="1"/>
    <col min="11774" max="11774" width="15" style="145" customWidth="1"/>
    <col min="11775" max="11775" width="12.140625" style="145" customWidth="1"/>
    <col min="11776" max="11777" width="11.85546875" style="145" customWidth="1"/>
    <col min="11778" max="11778" width="11.7109375" style="145" customWidth="1"/>
    <col min="11779" max="11779" width="10.42578125" style="145" customWidth="1"/>
    <col min="11780" max="11780" width="11.140625" style="145" customWidth="1"/>
    <col min="11781" max="11781" width="10.140625" style="145" customWidth="1"/>
    <col min="11782" max="11782" width="8.85546875" style="145" customWidth="1"/>
    <col min="11783" max="11783" width="20.140625" style="145" bestFit="1" customWidth="1"/>
    <col min="11784" max="11784" width="15.42578125" style="145" customWidth="1"/>
    <col min="11785" max="11785" width="11.85546875" style="145" bestFit="1" customWidth="1"/>
    <col min="11786" max="11786" width="12.140625" style="145" bestFit="1" customWidth="1"/>
    <col min="11787" max="12027" width="8.85546875" style="145"/>
    <col min="12028" max="12028" width="6.5703125" style="145" customWidth="1"/>
    <col min="12029" max="12029" width="46" style="145" customWidth="1"/>
    <col min="12030" max="12030" width="15" style="145" customWidth="1"/>
    <col min="12031" max="12031" width="12.140625" style="145" customWidth="1"/>
    <col min="12032" max="12033" width="11.85546875" style="145" customWidth="1"/>
    <col min="12034" max="12034" width="11.7109375" style="145" customWidth="1"/>
    <col min="12035" max="12035" width="10.42578125" style="145" customWidth="1"/>
    <col min="12036" max="12036" width="11.140625" style="145" customWidth="1"/>
    <col min="12037" max="12037" width="10.140625" style="145" customWidth="1"/>
    <col min="12038" max="12038" width="8.85546875" style="145" customWidth="1"/>
    <col min="12039" max="12039" width="20.140625" style="145" bestFit="1" customWidth="1"/>
    <col min="12040" max="12040" width="15.42578125" style="145" customWidth="1"/>
    <col min="12041" max="12041" width="11.85546875" style="145" bestFit="1" customWidth="1"/>
    <col min="12042" max="12042" width="12.140625" style="145" bestFit="1" customWidth="1"/>
    <col min="12043" max="12283" width="8.85546875" style="145"/>
    <col min="12284" max="12284" width="6.5703125" style="145" customWidth="1"/>
    <col min="12285" max="12285" width="46" style="145" customWidth="1"/>
    <col min="12286" max="12286" width="15" style="145" customWidth="1"/>
    <col min="12287" max="12287" width="12.140625" style="145" customWidth="1"/>
    <col min="12288" max="12289" width="11.85546875" style="145" customWidth="1"/>
    <col min="12290" max="12290" width="11.7109375" style="145" customWidth="1"/>
    <col min="12291" max="12291" width="10.42578125" style="145" customWidth="1"/>
    <col min="12292" max="12292" width="11.140625" style="145" customWidth="1"/>
    <col min="12293" max="12293" width="10.140625" style="145" customWidth="1"/>
    <col min="12294" max="12294" width="8.85546875" style="145" customWidth="1"/>
    <col min="12295" max="12295" width="20.140625" style="145" bestFit="1" customWidth="1"/>
    <col min="12296" max="12296" width="15.42578125" style="145" customWidth="1"/>
    <col min="12297" max="12297" width="11.85546875" style="145" bestFit="1" customWidth="1"/>
    <col min="12298" max="12298" width="12.140625" style="145" bestFit="1" customWidth="1"/>
    <col min="12299" max="12539" width="8.85546875" style="145"/>
    <col min="12540" max="12540" width="6.5703125" style="145" customWidth="1"/>
    <col min="12541" max="12541" width="46" style="145" customWidth="1"/>
    <col min="12542" max="12542" width="15" style="145" customWidth="1"/>
    <col min="12543" max="12543" width="12.140625" style="145" customWidth="1"/>
    <col min="12544" max="12545" width="11.85546875" style="145" customWidth="1"/>
    <col min="12546" max="12546" width="11.7109375" style="145" customWidth="1"/>
    <col min="12547" max="12547" width="10.42578125" style="145" customWidth="1"/>
    <col min="12548" max="12548" width="11.140625" style="145" customWidth="1"/>
    <col min="12549" max="12549" width="10.140625" style="145" customWidth="1"/>
    <col min="12550" max="12550" width="8.85546875" style="145" customWidth="1"/>
    <col min="12551" max="12551" width="20.140625" style="145" bestFit="1" customWidth="1"/>
    <col min="12552" max="12552" width="15.42578125" style="145" customWidth="1"/>
    <col min="12553" max="12553" width="11.85546875" style="145" bestFit="1" customWidth="1"/>
    <col min="12554" max="12554" width="12.140625" style="145" bestFit="1" customWidth="1"/>
    <col min="12555" max="12795" width="8.85546875" style="145"/>
    <col min="12796" max="12796" width="6.5703125" style="145" customWidth="1"/>
    <col min="12797" max="12797" width="46" style="145" customWidth="1"/>
    <col min="12798" max="12798" width="15" style="145" customWidth="1"/>
    <col min="12799" max="12799" width="12.140625" style="145" customWidth="1"/>
    <col min="12800" max="12801" width="11.85546875" style="145" customWidth="1"/>
    <col min="12802" max="12802" width="11.7109375" style="145" customWidth="1"/>
    <col min="12803" max="12803" width="10.42578125" style="145" customWidth="1"/>
    <col min="12804" max="12804" width="11.140625" style="145" customWidth="1"/>
    <col min="12805" max="12805" width="10.140625" style="145" customWidth="1"/>
    <col min="12806" max="12806" width="8.85546875" style="145" customWidth="1"/>
    <col min="12807" max="12807" width="20.140625" style="145" bestFit="1" customWidth="1"/>
    <col min="12808" max="12808" width="15.42578125" style="145" customWidth="1"/>
    <col min="12809" max="12809" width="11.85546875" style="145" bestFit="1" customWidth="1"/>
    <col min="12810" max="12810" width="12.140625" style="145" bestFit="1" customWidth="1"/>
    <col min="12811" max="13051" width="8.85546875" style="145"/>
    <col min="13052" max="13052" width="6.5703125" style="145" customWidth="1"/>
    <col min="13053" max="13053" width="46" style="145" customWidth="1"/>
    <col min="13054" max="13054" width="15" style="145" customWidth="1"/>
    <col min="13055" max="13055" width="12.140625" style="145" customWidth="1"/>
    <col min="13056" max="13057" width="11.85546875" style="145" customWidth="1"/>
    <col min="13058" max="13058" width="11.7109375" style="145" customWidth="1"/>
    <col min="13059" max="13059" width="10.42578125" style="145" customWidth="1"/>
    <col min="13060" max="13060" width="11.140625" style="145" customWidth="1"/>
    <col min="13061" max="13061" width="10.140625" style="145" customWidth="1"/>
    <col min="13062" max="13062" width="8.85546875" style="145" customWidth="1"/>
    <col min="13063" max="13063" width="20.140625" style="145" bestFit="1" customWidth="1"/>
    <col min="13064" max="13064" width="15.42578125" style="145" customWidth="1"/>
    <col min="13065" max="13065" width="11.85546875" style="145" bestFit="1" customWidth="1"/>
    <col min="13066" max="13066" width="12.140625" style="145" bestFit="1" customWidth="1"/>
    <col min="13067" max="13307" width="8.85546875" style="145"/>
    <col min="13308" max="13308" width="6.5703125" style="145" customWidth="1"/>
    <col min="13309" max="13309" width="46" style="145" customWidth="1"/>
    <col min="13310" max="13310" width="15" style="145" customWidth="1"/>
    <col min="13311" max="13311" width="12.140625" style="145" customWidth="1"/>
    <col min="13312" max="13313" width="11.85546875" style="145" customWidth="1"/>
    <col min="13314" max="13314" width="11.7109375" style="145" customWidth="1"/>
    <col min="13315" max="13315" width="10.42578125" style="145" customWidth="1"/>
    <col min="13316" max="13316" width="11.140625" style="145" customWidth="1"/>
    <col min="13317" max="13317" width="10.140625" style="145" customWidth="1"/>
    <col min="13318" max="13318" width="8.85546875" style="145" customWidth="1"/>
    <col min="13319" max="13319" width="20.140625" style="145" bestFit="1" customWidth="1"/>
    <col min="13320" max="13320" width="15.42578125" style="145" customWidth="1"/>
    <col min="13321" max="13321" width="11.85546875" style="145" bestFit="1" customWidth="1"/>
    <col min="13322" max="13322" width="12.140625" style="145" bestFit="1" customWidth="1"/>
    <col min="13323" max="13563" width="8.85546875" style="145"/>
    <col min="13564" max="13564" width="6.5703125" style="145" customWidth="1"/>
    <col min="13565" max="13565" width="46" style="145" customWidth="1"/>
    <col min="13566" max="13566" width="15" style="145" customWidth="1"/>
    <col min="13567" max="13567" width="12.140625" style="145" customWidth="1"/>
    <col min="13568" max="13569" width="11.85546875" style="145" customWidth="1"/>
    <col min="13570" max="13570" width="11.7109375" style="145" customWidth="1"/>
    <col min="13571" max="13571" width="10.42578125" style="145" customWidth="1"/>
    <col min="13572" max="13572" width="11.140625" style="145" customWidth="1"/>
    <col min="13573" max="13573" width="10.140625" style="145" customWidth="1"/>
    <col min="13574" max="13574" width="8.85546875" style="145" customWidth="1"/>
    <col min="13575" max="13575" width="20.140625" style="145" bestFit="1" customWidth="1"/>
    <col min="13576" max="13576" width="15.42578125" style="145" customWidth="1"/>
    <col min="13577" max="13577" width="11.85546875" style="145" bestFit="1" customWidth="1"/>
    <col min="13578" max="13578" width="12.140625" style="145" bestFit="1" customWidth="1"/>
    <col min="13579" max="13819" width="8.85546875" style="145"/>
    <col min="13820" max="13820" width="6.5703125" style="145" customWidth="1"/>
    <col min="13821" max="13821" width="46" style="145" customWidth="1"/>
    <col min="13822" max="13822" width="15" style="145" customWidth="1"/>
    <col min="13823" max="13823" width="12.140625" style="145" customWidth="1"/>
    <col min="13824" max="13825" width="11.85546875" style="145" customWidth="1"/>
    <col min="13826" max="13826" width="11.7109375" style="145" customWidth="1"/>
    <col min="13827" max="13827" width="10.42578125" style="145" customWidth="1"/>
    <col min="13828" max="13828" width="11.140625" style="145" customWidth="1"/>
    <col min="13829" max="13829" width="10.140625" style="145" customWidth="1"/>
    <col min="13830" max="13830" width="8.85546875" style="145" customWidth="1"/>
    <col min="13831" max="13831" width="20.140625" style="145" bestFit="1" customWidth="1"/>
    <col min="13832" max="13832" width="15.42578125" style="145" customWidth="1"/>
    <col min="13833" max="13833" width="11.85546875" style="145" bestFit="1" customWidth="1"/>
    <col min="13834" max="13834" width="12.140625" style="145" bestFit="1" customWidth="1"/>
    <col min="13835" max="14075" width="8.85546875" style="145"/>
    <col min="14076" max="14076" width="6.5703125" style="145" customWidth="1"/>
    <col min="14077" max="14077" width="46" style="145" customWidth="1"/>
    <col min="14078" max="14078" width="15" style="145" customWidth="1"/>
    <col min="14079" max="14079" width="12.140625" style="145" customWidth="1"/>
    <col min="14080" max="14081" width="11.85546875" style="145" customWidth="1"/>
    <col min="14082" max="14082" width="11.7109375" style="145" customWidth="1"/>
    <col min="14083" max="14083" width="10.42578125" style="145" customWidth="1"/>
    <col min="14084" max="14084" width="11.140625" style="145" customWidth="1"/>
    <col min="14085" max="14085" width="10.140625" style="145" customWidth="1"/>
    <col min="14086" max="14086" width="8.85546875" style="145" customWidth="1"/>
    <col min="14087" max="14087" width="20.140625" style="145" bestFit="1" customWidth="1"/>
    <col min="14088" max="14088" width="15.42578125" style="145" customWidth="1"/>
    <col min="14089" max="14089" width="11.85546875" style="145" bestFit="1" customWidth="1"/>
    <col min="14090" max="14090" width="12.140625" style="145" bestFit="1" customWidth="1"/>
    <col min="14091" max="14331" width="8.85546875" style="145"/>
    <col min="14332" max="14332" width="6.5703125" style="145" customWidth="1"/>
    <col min="14333" max="14333" width="46" style="145" customWidth="1"/>
    <col min="14334" max="14334" width="15" style="145" customWidth="1"/>
    <col min="14335" max="14335" width="12.140625" style="145" customWidth="1"/>
    <col min="14336" max="14337" width="11.85546875" style="145" customWidth="1"/>
    <col min="14338" max="14338" width="11.7109375" style="145" customWidth="1"/>
    <col min="14339" max="14339" width="10.42578125" style="145" customWidth="1"/>
    <col min="14340" max="14340" width="11.140625" style="145" customWidth="1"/>
    <col min="14341" max="14341" width="10.140625" style="145" customWidth="1"/>
    <col min="14342" max="14342" width="8.85546875" style="145" customWidth="1"/>
    <col min="14343" max="14343" width="20.140625" style="145" bestFit="1" customWidth="1"/>
    <col min="14344" max="14344" width="15.42578125" style="145" customWidth="1"/>
    <col min="14345" max="14345" width="11.85546875" style="145" bestFit="1" customWidth="1"/>
    <col min="14346" max="14346" width="12.140625" style="145" bestFit="1" customWidth="1"/>
    <col min="14347" max="14587" width="8.85546875" style="145"/>
    <col min="14588" max="14588" width="6.5703125" style="145" customWidth="1"/>
    <col min="14589" max="14589" width="46" style="145" customWidth="1"/>
    <col min="14590" max="14590" width="15" style="145" customWidth="1"/>
    <col min="14591" max="14591" width="12.140625" style="145" customWidth="1"/>
    <col min="14592" max="14593" width="11.85546875" style="145" customWidth="1"/>
    <col min="14594" max="14594" width="11.7109375" style="145" customWidth="1"/>
    <col min="14595" max="14595" width="10.42578125" style="145" customWidth="1"/>
    <col min="14596" max="14596" width="11.140625" style="145" customWidth="1"/>
    <col min="14597" max="14597" width="10.140625" style="145" customWidth="1"/>
    <col min="14598" max="14598" width="8.85546875" style="145" customWidth="1"/>
    <col min="14599" max="14599" width="20.140625" style="145" bestFit="1" customWidth="1"/>
    <col min="14600" max="14600" width="15.42578125" style="145" customWidth="1"/>
    <col min="14601" max="14601" width="11.85546875" style="145" bestFit="1" customWidth="1"/>
    <col min="14602" max="14602" width="12.140625" style="145" bestFit="1" customWidth="1"/>
    <col min="14603" max="14843" width="8.85546875" style="145"/>
    <col min="14844" max="14844" width="6.5703125" style="145" customWidth="1"/>
    <col min="14845" max="14845" width="46" style="145" customWidth="1"/>
    <col min="14846" max="14846" width="15" style="145" customWidth="1"/>
    <col min="14847" max="14847" width="12.140625" style="145" customWidth="1"/>
    <col min="14848" max="14849" width="11.85546875" style="145" customWidth="1"/>
    <col min="14850" max="14850" width="11.7109375" style="145" customWidth="1"/>
    <col min="14851" max="14851" width="10.42578125" style="145" customWidth="1"/>
    <col min="14852" max="14852" width="11.140625" style="145" customWidth="1"/>
    <col min="14853" max="14853" width="10.140625" style="145" customWidth="1"/>
    <col min="14854" max="14854" width="8.85546875" style="145" customWidth="1"/>
    <col min="14855" max="14855" width="20.140625" style="145" bestFit="1" customWidth="1"/>
    <col min="14856" max="14856" width="15.42578125" style="145" customWidth="1"/>
    <col min="14857" max="14857" width="11.85546875" style="145" bestFit="1" customWidth="1"/>
    <col min="14858" max="14858" width="12.140625" style="145" bestFit="1" customWidth="1"/>
    <col min="14859" max="15099" width="8.85546875" style="145"/>
    <col min="15100" max="15100" width="6.5703125" style="145" customWidth="1"/>
    <col min="15101" max="15101" width="46" style="145" customWidth="1"/>
    <col min="15102" max="15102" width="15" style="145" customWidth="1"/>
    <col min="15103" max="15103" width="12.140625" style="145" customWidth="1"/>
    <col min="15104" max="15105" width="11.85546875" style="145" customWidth="1"/>
    <col min="15106" max="15106" width="11.7109375" style="145" customWidth="1"/>
    <col min="15107" max="15107" width="10.42578125" style="145" customWidth="1"/>
    <col min="15108" max="15108" width="11.140625" style="145" customWidth="1"/>
    <col min="15109" max="15109" width="10.140625" style="145" customWidth="1"/>
    <col min="15110" max="15110" width="8.85546875" style="145" customWidth="1"/>
    <col min="15111" max="15111" width="20.140625" style="145" bestFit="1" customWidth="1"/>
    <col min="15112" max="15112" width="15.42578125" style="145" customWidth="1"/>
    <col min="15113" max="15113" width="11.85546875" style="145" bestFit="1" customWidth="1"/>
    <col min="15114" max="15114" width="12.140625" style="145" bestFit="1" customWidth="1"/>
    <col min="15115" max="15355" width="8.85546875" style="145"/>
    <col min="15356" max="15356" width="6.5703125" style="145" customWidth="1"/>
    <col min="15357" max="15357" width="46" style="145" customWidth="1"/>
    <col min="15358" max="15358" width="15" style="145" customWidth="1"/>
    <col min="15359" max="15359" width="12.140625" style="145" customWidth="1"/>
    <col min="15360" max="15361" width="11.85546875" style="145" customWidth="1"/>
    <col min="15362" max="15362" width="11.7109375" style="145" customWidth="1"/>
    <col min="15363" max="15363" width="10.42578125" style="145" customWidth="1"/>
    <col min="15364" max="15364" width="11.140625" style="145" customWidth="1"/>
    <col min="15365" max="15365" width="10.140625" style="145" customWidth="1"/>
    <col min="15366" max="15366" width="8.85546875" style="145" customWidth="1"/>
    <col min="15367" max="15367" width="20.140625" style="145" bestFit="1" customWidth="1"/>
    <col min="15368" max="15368" width="15.42578125" style="145" customWidth="1"/>
    <col min="15369" max="15369" width="11.85546875" style="145" bestFit="1" customWidth="1"/>
    <col min="15370" max="15370" width="12.140625" style="145" bestFit="1" customWidth="1"/>
    <col min="15371" max="15611" width="8.85546875" style="145"/>
    <col min="15612" max="15612" width="6.5703125" style="145" customWidth="1"/>
    <col min="15613" max="15613" width="46" style="145" customWidth="1"/>
    <col min="15614" max="15614" width="15" style="145" customWidth="1"/>
    <col min="15615" max="15615" width="12.140625" style="145" customWidth="1"/>
    <col min="15616" max="15617" width="11.85546875" style="145" customWidth="1"/>
    <col min="15618" max="15618" width="11.7109375" style="145" customWidth="1"/>
    <col min="15619" max="15619" width="10.42578125" style="145" customWidth="1"/>
    <col min="15620" max="15620" width="11.140625" style="145" customWidth="1"/>
    <col min="15621" max="15621" width="10.140625" style="145" customWidth="1"/>
    <col min="15622" max="15622" width="8.85546875" style="145" customWidth="1"/>
    <col min="15623" max="15623" width="20.140625" style="145" bestFit="1" customWidth="1"/>
    <col min="15624" max="15624" width="15.42578125" style="145" customWidth="1"/>
    <col min="15625" max="15625" width="11.85546875" style="145" bestFit="1" customWidth="1"/>
    <col min="15626" max="15626" width="12.140625" style="145" bestFit="1" customWidth="1"/>
    <col min="15627" max="15867" width="8.85546875" style="145"/>
    <col min="15868" max="15868" width="6.5703125" style="145" customWidth="1"/>
    <col min="15869" max="15869" width="46" style="145" customWidth="1"/>
    <col min="15870" max="15870" width="15" style="145" customWidth="1"/>
    <col min="15871" max="15871" width="12.140625" style="145" customWidth="1"/>
    <col min="15872" max="15873" width="11.85546875" style="145" customWidth="1"/>
    <col min="15874" max="15874" width="11.7109375" style="145" customWidth="1"/>
    <col min="15875" max="15875" width="10.42578125" style="145" customWidth="1"/>
    <col min="15876" max="15876" width="11.140625" style="145" customWidth="1"/>
    <col min="15877" max="15877" width="10.140625" style="145" customWidth="1"/>
    <col min="15878" max="15878" width="8.85546875" style="145" customWidth="1"/>
    <col min="15879" max="15879" width="20.140625" style="145" bestFit="1" customWidth="1"/>
    <col min="15880" max="15880" width="15.42578125" style="145" customWidth="1"/>
    <col min="15881" max="15881" width="11.85546875" style="145" bestFit="1" customWidth="1"/>
    <col min="15882" max="15882" width="12.140625" style="145" bestFit="1" customWidth="1"/>
    <col min="15883" max="16123" width="8.85546875" style="145"/>
    <col min="16124" max="16124" width="6.5703125" style="145" customWidth="1"/>
    <col min="16125" max="16125" width="46" style="145" customWidth="1"/>
    <col min="16126" max="16126" width="15" style="145" customWidth="1"/>
    <col min="16127" max="16127" width="12.140625" style="145" customWidth="1"/>
    <col min="16128" max="16129" width="11.85546875" style="145" customWidth="1"/>
    <col min="16130" max="16130" width="11.7109375" style="145" customWidth="1"/>
    <col min="16131" max="16131" width="10.42578125" style="145" customWidth="1"/>
    <col min="16132" max="16132" width="11.140625" style="145" customWidth="1"/>
    <col min="16133" max="16133" width="10.140625" style="145" customWidth="1"/>
    <col min="16134" max="16134" width="8.85546875" style="145" customWidth="1"/>
    <col min="16135" max="16135" width="20.140625" style="145" bestFit="1" customWidth="1"/>
    <col min="16136" max="16136" width="15.42578125" style="145" customWidth="1"/>
    <col min="16137" max="16137" width="11.85546875" style="145" bestFit="1" customWidth="1"/>
    <col min="16138" max="16138" width="12.140625" style="145" bestFit="1" customWidth="1"/>
    <col min="16139" max="16384" width="8.85546875" style="145"/>
  </cols>
  <sheetData>
    <row r="1" spans="1:16">
      <c r="A1" s="368" t="s">
        <v>517</v>
      </c>
      <c r="B1" s="368"/>
      <c r="K1" s="141" t="s">
        <v>8</v>
      </c>
    </row>
    <row r="2" spans="1:16" ht="34.5" customHeight="1">
      <c r="A2" s="363" t="s">
        <v>429</v>
      </c>
      <c r="B2" s="363"/>
      <c r="C2" s="363"/>
      <c r="D2" s="363"/>
      <c r="E2" s="363"/>
      <c r="F2" s="363"/>
      <c r="G2" s="363"/>
      <c r="H2" s="363"/>
      <c r="I2" s="363"/>
      <c r="J2" s="363"/>
      <c r="K2" s="363"/>
    </row>
    <row r="3" spans="1:16" ht="34.5" customHeight="1">
      <c r="A3" s="364" t="str">
        <f>'52'!A3:F3</f>
        <v>(Kèm theo Nghị quyết số            /NQ-HĐND ngày     tháng     năm 2023 của Hội đồng nhân dân huyện)</v>
      </c>
      <c r="B3" s="364"/>
      <c r="C3" s="364"/>
      <c r="D3" s="364"/>
      <c r="E3" s="364"/>
      <c r="F3" s="364"/>
      <c r="G3" s="364"/>
      <c r="H3" s="364"/>
      <c r="I3" s="364"/>
      <c r="J3" s="364"/>
      <c r="K3" s="364"/>
    </row>
    <row r="4" spans="1:16">
      <c r="K4" s="8" t="s">
        <v>15</v>
      </c>
    </row>
    <row r="5" spans="1:16" ht="24" customHeight="1">
      <c r="A5" s="370" t="s">
        <v>0</v>
      </c>
      <c r="B5" s="370" t="s">
        <v>16</v>
      </c>
      <c r="C5" s="371" t="s">
        <v>410</v>
      </c>
      <c r="D5" s="371" t="s">
        <v>215</v>
      </c>
      <c r="E5" s="371"/>
      <c r="F5" s="371" t="s">
        <v>18</v>
      </c>
      <c r="G5" s="371" t="s">
        <v>215</v>
      </c>
      <c r="H5" s="371"/>
      <c r="I5" s="371" t="s">
        <v>69</v>
      </c>
      <c r="J5" s="371"/>
      <c r="K5" s="371"/>
    </row>
    <row r="6" spans="1:16" ht="47.25">
      <c r="A6" s="370"/>
      <c r="B6" s="370"/>
      <c r="C6" s="371"/>
      <c r="D6" s="229" t="s">
        <v>216</v>
      </c>
      <c r="E6" s="229" t="s">
        <v>217</v>
      </c>
      <c r="F6" s="371"/>
      <c r="G6" s="229" t="s">
        <v>216</v>
      </c>
      <c r="H6" s="229" t="s">
        <v>217</v>
      </c>
      <c r="I6" s="229" t="s">
        <v>218</v>
      </c>
      <c r="J6" s="229" t="s">
        <v>216</v>
      </c>
      <c r="K6" s="229" t="s">
        <v>217</v>
      </c>
    </row>
    <row r="7" spans="1:16">
      <c r="A7" s="228" t="s">
        <v>22</v>
      </c>
      <c r="B7" s="228" t="s">
        <v>23</v>
      </c>
      <c r="C7" s="229" t="s">
        <v>219</v>
      </c>
      <c r="D7" s="229">
        <v>2</v>
      </c>
      <c r="E7" s="229">
        <v>3</v>
      </c>
      <c r="F7" s="229" t="s">
        <v>220</v>
      </c>
      <c r="G7" s="229">
        <v>5</v>
      </c>
      <c r="H7" s="229">
        <v>6</v>
      </c>
      <c r="I7" s="229" t="s">
        <v>221</v>
      </c>
      <c r="J7" s="229" t="s">
        <v>222</v>
      </c>
      <c r="K7" s="229" t="s">
        <v>223</v>
      </c>
      <c r="P7" s="144"/>
    </row>
    <row r="8" spans="1:16" s="294" customFormat="1">
      <c r="A8" s="228"/>
      <c r="B8" s="49" t="s">
        <v>43</v>
      </c>
      <c r="C8" s="229">
        <f t="shared" ref="C8:H8" si="0">C9+C38+C51+C52</f>
        <v>307084</v>
      </c>
      <c r="D8" s="229">
        <f t="shared" si="0"/>
        <v>253337.16</v>
      </c>
      <c r="E8" s="229">
        <f t="shared" si="0"/>
        <v>53746.840000000004</v>
      </c>
      <c r="F8" s="229">
        <f t="shared" si="0"/>
        <v>540020.47557700006</v>
      </c>
      <c r="G8" s="229">
        <f>G9+G38+G51+G52</f>
        <v>467067.96858300001</v>
      </c>
      <c r="H8" s="229">
        <f t="shared" si="0"/>
        <v>72952.506993999996</v>
      </c>
      <c r="I8" s="323">
        <f>F8/C8*100</f>
        <v>175.85431855029896</v>
      </c>
      <c r="J8" s="323">
        <f>G8/D8*100</f>
        <v>184.36615006775949</v>
      </c>
      <c r="K8" s="323">
        <f t="shared" ref="K8" si="1">H8/E8*100</f>
        <v>135.73357427897156</v>
      </c>
      <c r="L8" s="296">
        <v>297438</v>
      </c>
      <c r="M8" s="297">
        <f>C8-L8</f>
        <v>9646</v>
      </c>
      <c r="N8" s="297"/>
      <c r="O8" s="297"/>
    </row>
    <row r="9" spans="1:16" s="294" customFormat="1">
      <c r="A9" s="228" t="s">
        <v>22</v>
      </c>
      <c r="B9" s="49" t="s">
        <v>224</v>
      </c>
      <c r="C9" s="229">
        <f>C10+C30+C34+C36+C37</f>
        <v>300896</v>
      </c>
      <c r="D9" s="229">
        <f>D10+D30+D34+D36+D37</f>
        <v>248159.16</v>
      </c>
      <c r="E9" s="229">
        <f t="shared" ref="E9:H9" si="2">E10+E30+E34+E36+E37</f>
        <v>52736.840000000004</v>
      </c>
      <c r="F9" s="229">
        <f t="shared" si="2"/>
        <v>300972.29649200005</v>
      </c>
      <c r="G9" s="229">
        <f>G10+G30+G34+G36+G37</f>
        <v>247523.06441000002</v>
      </c>
      <c r="H9" s="229">
        <f t="shared" si="2"/>
        <v>53449.232082000002</v>
      </c>
      <c r="I9" s="323">
        <f t="shared" ref="I9:I50" si="3">F9/C9*100</f>
        <v>100.02535643278743</v>
      </c>
      <c r="J9" s="323">
        <f t="shared" ref="J9:J50" si="4">G9/D9*100</f>
        <v>99.743674345931865</v>
      </c>
      <c r="K9" s="323">
        <f t="shared" ref="K9:K50" si="5">H9/E9*100</f>
        <v>101.35084332318736</v>
      </c>
      <c r="L9" s="298">
        <v>263161</v>
      </c>
      <c r="M9" s="297">
        <f>C9-L9</f>
        <v>37735</v>
      </c>
      <c r="N9" s="297"/>
    </row>
    <row r="10" spans="1:16" s="294" customFormat="1">
      <c r="A10" s="228" t="s">
        <v>3</v>
      </c>
      <c r="B10" s="49" t="s">
        <v>196</v>
      </c>
      <c r="C10" s="229">
        <f>D10+E10</f>
        <v>7678</v>
      </c>
      <c r="D10" s="229">
        <f>D11+D28+D29</f>
        <v>7678</v>
      </c>
      <c r="E10" s="229">
        <f>E11+E28+E29</f>
        <v>0</v>
      </c>
      <c r="F10" s="229">
        <f>G10+H10</f>
        <v>11019.230011</v>
      </c>
      <c r="G10" s="229">
        <f>G11+G28+G29</f>
        <v>11019.230011</v>
      </c>
      <c r="H10" s="229">
        <f>H11+H28+H29</f>
        <v>0</v>
      </c>
      <c r="I10" s="323">
        <f t="shared" si="3"/>
        <v>143.51693163584267</v>
      </c>
      <c r="J10" s="323">
        <f t="shared" si="4"/>
        <v>143.51693163584267</v>
      </c>
      <c r="K10" s="323"/>
      <c r="L10" s="299" t="e">
        <f>'51'!#REF!</f>
        <v>#REF!</v>
      </c>
      <c r="M10" s="300" t="e">
        <f>L10-F10-G39-G49</f>
        <v>#REF!</v>
      </c>
      <c r="P10" s="297"/>
    </row>
    <row r="11" spans="1:16">
      <c r="A11" s="140">
        <v>1</v>
      </c>
      <c r="B11" s="121" t="s">
        <v>197</v>
      </c>
      <c r="C11" s="89">
        <f>D11+E11</f>
        <v>7678</v>
      </c>
      <c r="D11" s="89">
        <v>7678</v>
      </c>
      <c r="E11" s="89">
        <f>SUM(E12:E24)</f>
        <v>0</v>
      </c>
      <c r="F11" s="89">
        <f>G11+H11</f>
        <v>11019.230011</v>
      </c>
      <c r="G11" s="89">
        <f>SUM(G12:G24)</f>
        <v>11019.230011</v>
      </c>
      <c r="H11" s="89">
        <f>SUM(H12:H24)</f>
        <v>0</v>
      </c>
      <c r="I11" s="87">
        <f t="shared" si="3"/>
        <v>143.51693163584267</v>
      </c>
      <c r="J11" s="87">
        <f t="shared" si="4"/>
        <v>143.51693163584267</v>
      </c>
      <c r="K11" s="323"/>
      <c r="L11" s="142"/>
      <c r="M11" s="143"/>
      <c r="N11" s="144">
        <f>G11+G39+G49</f>
        <v>87069.440472999995</v>
      </c>
      <c r="P11" s="144"/>
    </row>
    <row r="12" spans="1:16">
      <c r="A12" s="140"/>
      <c r="B12" s="146" t="s">
        <v>133</v>
      </c>
      <c r="C12" s="89">
        <f t="shared" ref="C12:C29" si="6">D12+E12</f>
        <v>0</v>
      </c>
      <c r="D12" s="89"/>
      <c r="E12" s="89"/>
      <c r="F12" s="89">
        <f t="shared" ref="F12:F29" si="7">G12+H12</f>
        <v>0</v>
      </c>
      <c r="G12" s="89"/>
      <c r="H12" s="89"/>
      <c r="I12" s="323"/>
      <c r="J12" s="323"/>
      <c r="K12" s="323"/>
    </row>
    <row r="13" spans="1:16">
      <c r="A13" s="140" t="s">
        <v>28</v>
      </c>
      <c r="B13" s="121" t="s">
        <v>135</v>
      </c>
      <c r="C13" s="89">
        <f>D13+E13</f>
        <v>0</v>
      </c>
      <c r="D13" s="89"/>
      <c r="E13" s="89"/>
      <c r="F13" s="89">
        <f t="shared" si="7"/>
        <v>0</v>
      </c>
      <c r="G13" s="89"/>
      <c r="H13" s="89"/>
      <c r="I13" s="323"/>
      <c r="J13" s="323"/>
      <c r="K13" s="323"/>
    </row>
    <row r="14" spans="1:16">
      <c r="A14" s="140" t="s">
        <v>28</v>
      </c>
      <c r="B14" s="121" t="s">
        <v>137</v>
      </c>
      <c r="C14" s="89">
        <f t="shared" si="6"/>
        <v>0</v>
      </c>
      <c r="D14" s="89"/>
      <c r="E14" s="89"/>
      <c r="F14" s="89">
        <f t="shared" si="7"/>
        <v>0</v>
      </c>
      <c r="G14" s="89"/>
      <c r="H14" s="89"/>
      <c r="I14" s="323"/>
      <c r="J14" s="323"/>
      <c r="K14" s="323"/>
    </row>
    <row r="15" spans="1:16">
      <c r="A15" s="140" t="s">
        <v>28</v>
      </c>
      <c r="B15" s="121" t="s">
        <v>139</v>
      </c>
      <c r="C15" s="89">
        <f>D15+E15</f>
        <v>0</v>
      </c>
      <c r="D15" s="89"/>
      <c r="E15" s="145"/>
      <c r="F15" s="89">
        <f>G15+H15</f>
        <v>94.999116999999998</v>
      </c>
      <c r="G15" s="216">
        <v>94.999116999999998</v>
      </c>
      <c r="H15" s="89"/>
      <c r="I15" s="323"/>
      <c r="J15" s="323"/>
      <c r="K15" s="323"/>
    </row>
    <row r="16" spans="1:16">
      <c r="A16" s="140" t="s">
        <v>28</v>
      </c>
      <c r="B16" s="121" t="s">
        <v>141</v>
      </c>
      <c r="C16" s="89">
        <f t="shared" si="6"/>
        <v>0</v>
      </c>
      <c r="D16" s="89"/>
      <c r="E16" s="89"/>
      <c r="F16" s="89">
        <f t="shared" si="7"/>
        <v>0</v>
      </c>
      <c r="G16" s="221"/>
      <c r="H16" s="89"/>
      <c r="I16" s="323"/>
      <c r="J16" s="323"/>
      <c r="K16" s="323"/>
    </row>
    <row r="17" spans="1:16">
      <c r="A17" s="140" t="s">
        <v>28</v>
      </c>
      <c r="B17" s="121" t="s">
        <v>143</v>
      </c>
      <c r="C17" s="89">
        <f t="shared" si="6"/>
        <v>0</v>
      </c>
      <c r="D17" s="89"/>
      <c r="E17" s="89"/>
      <c r="F17" s="89">
        <f t="shared" si="7"/>
        <v>0</v>
      </c>
      <c r="G17" s="221"/>
      <c r="H17" s="89"/>
      <c r="I17" s="323"/>
      <c r="J17" s="323"/>
      <c r="K17" s="323"/>
    </row>
    <row r="18" spans="1:16">
      <c r="A18" s="140" t="s">
        <v>28</v>
      </c>
      <c r="B18" s="121" t="s">
        <v>206</v>
      </c>
      <c r="C18" s="89"/>
      <c r="D18" s="89"/>
      <c r="E18" s="89"/>
      <c r="F18" s="89"/>
      <c r="G18" s="216">
        <v>721.37699999999995</v>
      </c>
      <c r="H18" s="89"/>
      <c r="I18" s="323"/>
      <c r="J18" s="323"/>
      <c r="K18" s="323"/>
    </row>
    <row r="19" spans="1:16">
      <c r="A19" s="140" t="s">
        <v>28</v>
      </c>
      <c r="B19" s="121" t="s">
        <v>146</v>
      </c>
      <c r="C19" s="89">
        <f t="shared" si="6"/>
        <v>0</v>
      </c>
      <c r="D19" s="89"/>
      <c r="E19" s="89"/>
      <c r="F19" s="89">
        <f t="shared" si="7"/>
        <v>0</v>
      </c>
      <c r="G19" s="221"/>
      <c r="H19" s="89"/>
      <c r="I19" s="323"/>
      <c r="J19" s="323"/>
      <c r="K19" s="323"/>
    </row>
    <row r="20" spans="1:16">
      <c r="A20" s="140" t="s">
        <v>28</v>
      </c>
      <c r="B20" s="121" t="s">
        <v>148</v>
      </c>
      <c r="C20" s="89">
        <f t="shared" si="6"/>
        <v>0</v>
      </c>
      <c r="D20" s="89"/>
      <c r="E20" s="89"/>
      <c r="F20" s="89">
        <f t="shared" si="7"/>
        <v>56.012999999999998</v>
      </c>
      <c r="G20" s="216">
        <v>56.012999999999998</v>
      </c>
      <c r="H20" s="89"/>
      <c r="I20" s="323"/>
      <c r="J20" s="323"/>
      <c r="K20" s="323"/>
    </row>
    <row r="21" spans="1:16">
      <c r="A21" s="140" t="s">
        <v>28</v>
      </c>
      <c r="B21" s="121" t="s">
        <v>150</v>
      </c>
      <c r="C21" s="89">
        <f t="shared" si="6"/>
        <v>0</v>
      </c>
      <c r="D21" s="89"/>
      <c r="E21" s="89"/>
      <c r="F21" s="89">
        <f t="shared" si="7"/>
        <v>0</v>
      </c>
      <c r="G21" s="221"/>
      <c r="H21" s="89"/>
      <c r="I21" s="323"/>
      <c r="J21" s="323"/>
      <c r="K21" s="323"/>
    </row>
    <row r="22" spans="1:16">
      <c r="A22" s="140" t="s">
        <v>28</v>
      </c>
      <c r="B22" s="121" t="s">
        <v>152</v>
      </c>
      <c r="C22" s="89">
        <f t="shared" si="6"/>
        <v>7590</v>
      </c>
      <c r="D22" s="63">
        <v>7590</v>
      </c>
      <c r="E22" s="63"/>
      <c r="F22" s="89">
        <f>G22+H22</f>
        <v>7627.1091299999998</v>
      </c>
      <c r="G22" s="216">
        <v>7627.1091299999998</v>
      </c>
      <c r="H22" s="89"/>
      <c r="I22" s="87">
        <f t="shared" si="3"/>
        <v>100.4889213438735</v>
      </c>
      <c r="J22" s="87">
        <f t="shared" si="4"/>
        <v>100.4889213438735</v>
      </c>
      <c r="K22" s="323"/>
    </row>
    <row r="23" spans="1:16" ht="31.5">
      <c r="A23" s="140" t="s">
        <v>28</v>
      </c>
      <c r="B23" s="121" t="s">
        <v>154</v>
      </c>
      <c r="C23" s="89">
        <f t="shared" si="6"/>
        <v>0</v>
      </c>
      <c r="D23" s="63"/>
      <c r="E23" s="63"/>
      <c r="F23" s="89">
        <f t="shared" si="7"/>
        <v>2519.7317640000001</v>
      </c>
      <c r="G23" s="216">
        <v>2519.7317640000001</v>
      </c>
      <c r="H23" s="89"/>
      <c r="I23" s="323"/>
      <c r="J23" s="323"/>
      <c r="K23" s="323"/>
    </row>
    <row r="24" spans="1:16">
      <c r="A24" s="140" t="s">
        <v>28</v>
      </c>
      <c r="B24" s="121" t="s">
        <v>156</v>
      </c>
      <c r="C24" s="89">
        <f t="shared" si="6"/>
        <v>0</v>
      </c>
      <c r="D24" s="89"/>
      <c r="E24" s="89"/>
      <c r="F24" s="89">
        <f t="shared" si="7"/>
        <v>0</v>
      </c>
      <c r="G24" s="89"/>
      <c r="H24" s="89"/>
      <c r="I24" s="323"/>
      <c r="J24" s="323"/>
      <c r="K24" s="323"/>
    </row>
    <row r="25" spans="1:16" s="301" customFormat="1">
      <c r="A25" s="147"/>
      <c r="B25" s="62" t="s">
        <v>157</v>
      </c>
      <c r="C25" s="148">
        <f t="shared" si="6"/>
        <v>0</v>
      </c>
      <c r="D25" s="148"/>
      <c r="E25" s="148"/>
      <c r="F25" s="148">
        <f t="shared" si="7"/>
        <v>0</v>
      </c>
      <c r="G25" s="148"/>
      <c r="H25" s="148"/>
      <c r="I25" s="323"/>
      <c r="J25" s="323"/>
      <c r="K25" s="323"/>
    </row>
    <row r="26" spans="1:16" s="301" customFormat="1">
      <c r="A26" s="147" t="s">
        <v>28</v>
      </c>
      <c r="B26" s="62" t="s">
        <v>158</v>
      </c>
      <c r="C26" s="148">
        <f t="shared" si="6"/>
        <v>0</v>
      </c>
      <c r="D26" s="148"/>
      <c r="E26" s="148"/>
      <c r="F26" s="148">
        <f t="shared" si="7"/>
        <v>0</v>
      </c>
      <c r="G26" s="148"/>
      <c r="H26" s="148">
        <v>0</v>
      </c>
      <c r="I26" s="323"/>
      <c r="J26" s="323"/>
      <c r="K26" s="323"/>
    </row>
    <row r="27" spans="1:16" s="301" customFormat="1">
      <c r="A27" s="147" t="s">
        <v>28</v>
      </c>
      <c r="B27" s="62" t="s">
        <v>159</v>
      </c>
      <c r="C27" s="148">
        <f t="shared" si="6"/>
        <v>0</v>
      </c>
      <c r="D27" s="148"/>
      <c r="E27" s="148"/>
      <c r="F27" s="148">
        <f t="shared" si="7"/>
        <v>0</v>
      </c>
      <c r="G27" s="148"/>
      <c r="H27" s="148"/>
      <c r="I27" s="323"/>
      <c r="J27" s="323"/>
      <c r="K27" s="323"/>
    </row>
    <row r="28" spans="1:16" ht="78.75">
      <c r="A28" s="140">
        <v>2</v>
      </c>
      <c r="B28" s="121" t="s">
        <v>160</v>
      </c>
      <c r="C28" s="89">
        <f t="shared" si="6"/>
        <v>0</v>
      </c>
      <c r="D28" s="89"/>
      <c r="E28" s="89"/>
      <c r="F28" s="89">
        <f t="shared" si="7"/>
        <v>0</v>
      </c>
      <c r="G28" s="89"/>
      <c r="H28" s="89"/>
      <c r="I28" s="323"/>
      <c r="J28" s="323"/>
      <c r="K28" s="323"/>
    </row>
    <row r="29" spans="1:16">
      <c r="A29" s="140">
        <v>3</v>
      </c>
      <c r="B29" s="121" t="s">
        <v>161</v>
      </c>
      <c r="C29" s="89">
        <f t="shared" si="6"/>
        <v>0</v>
      </c>
      <c r="D29" s="89"/>
      <c r="E29" s="89"/>
      <c r="F29" s="89">
        <f t="shared" si="7"/>
        <v>0</v>
      </c>
      <c r="G29" s="89"/>
      <c r="H29" s="89"/>
      <c r="I29" s="323"/>
      <c r="J29" s="323"/>
      <c r="K29" s="323"/>
      <c r="M29" s="294"/>
    </row>
    <row r="30" spans="1:16" s="294" customFormat="1">
      <c r="A30" s="228" t="s">
        <v>31</v>
      </c>
      <c r="B30" s="49" t="s">
        <v>46</v>
      </c>
      <c r="C30" s="229">
        <f>D30+E30</f>
        <v>287200</v>
      </c>
      <c r="D30" s="229">
        <v>235518.56</v>
      </c>
      <c r="E30" s="229">
        <v>51681.440000000002</v>
      </c>
      <c r="F30" s="229">
        <f>G30+H30</f>
        <v>289953.06648100005</v>
      </c>
      <c r="G30" s="229">
        <f>259113.622763-G44-G50</f>
        <v>236503.83439900001</v>
      </c>
      <c r="H30" s="229">
        <f>62670.829375-H44-H48</f>
        <v>53449.232082000002</v>
      </c>
      <c r="I30" s="323">
        <f t="shared" si="3"/>
        <v>100.95858860759054</v>
      </c>
      <c r="J30" s="323">
        <f t="shared" si="4"/>
        <v>100.41834257096343</v>
      </c>
      <c r="K30" s="323">
        <f t="shared" si="5"/>
        <v>103.42055500388534</v>
      </c>
      <c r="L30" s="296"/>
      <c r="M30" s="297"/>
      <c r="N30" s="296"/>
      <c r="P30" s="297"/>
    </row>
    <row r="31" spans="1:16">
      <c r="A31" s="61"/>
      <c r="B31" s="62" t="s">
        <v>162</v>
      </c>
      <c r="C31" s="89"/>
      <c r="D31" s="89"/>
      <c r="E31" s="89"/>
      <c r="F31" s="229"/>
      <c r="G31" s="89"/>
      <c r="H31" s="89"/>
      <c r="I31" s="323"/>
      <c r="J31" s="323"/>
      <c r="K31" s="323"/>
      <c r="L31" s="302"/>
      <c r="M31" s="302"/>
      <c r="N31" s="302"/>
    </row>
    <row r="32" spans="1:16">
      <c r="A32" s="61">
        <v>1</v>
      </c>
      <c r="B32" s="62" t="s">
        <v>163</v>
      </c>
      <c r="C32" s="89">
        <f>D32+E32</f>
        <v>171568</v>
      </c>
      <c r="D32" s="89">
        <v>171238</v>
      </c>
      <c r="E32" s="89">
        <v>330</v>
      </c>
      <c r="F32" s="89">
        <f>G32+H32</f>
        <v>177770.00200099999</v>
      </c>
      <c r="G32" s="89">
        <v>177473.002041</v>
      </c>
      <c r="H32" s="89">
        <v>296.99995999999999</v>
      </c>
      <c r="I32" s="87">
        <f t="shared" si="3"/>
        <v>103.61489438648232</v>
      </c>
      <c r="J32" s="87">
        <f t="shared" si="4"/>
        <v>103.6411322492671</v>
      </c>
      <c r="K32" s="87">
        <f t="shared" si="5"/>
        <v>89.999987878787877</v>
      </c>
    </row>
    <row r="33" spans="1:16">
      <c r="A33" s="61">
        <v>2</v>
      </c>
      <c r="B33" s="62" t="s">
        <v>164</v>
      </c>
      <c r="C33" s="89">
        <f>D33+E33</f>
        <v>307.7</v>
      </c>
      <c r="D33" s="89">
        <v>172.7</v>
      </c>
      <c r="E33" s="89">
        <v>135</v>
      </c>
      <c r="F33" s="89">
        <f>G33+H33</f>
        <v>279.12968000000001</v>
      </c>
      <c r="G33" s="89">
        <v>157.62968000000001</v>
      </c>
      <c r="H33" s="89">
        <v>121.5</v>
      </c>
      <c r="I33" s="87">
        <f t="shared" si="3"/>
        <v>90.714878128046806</v>
      </c>
      <c r="J33" s="87">
        <f t="shared" si="4"/>
        <v>91.273700057903895</v>
      </c>
      <c r="K33" s="87">
        <f t="shared" si="5"/>
        <v>90</v>
      </c>
    </row>
    <row r="34" spans="1:16" ht="31.5">
      <c r="A34" s="228" t="s">
        <v>35</v>
      </c>
      <c r="B34" s="49" t="s">
        <v>47</v>
      </c>
      <c r="C34" s="89"/>
      <c r="D34" s="89"/>
      <c r="E34" s="89"/>
      <c r="F34" s="89"/>
      <c r="G34" s="89"/>
      <c r="H34" s="89"/>
      <c r="I34" s="323"/>
      <c r="J34" s="323"/>
      <c r="K34" s="323"/>
    </row>
    <row r="35" spans="1:16">
      <c r="A35" s="228" t="s">
        <v>37</v>
      </c>
      <c r="B35" s="49" t="s">
        <v>48</v>
      </c>
      <c r="C35" s="89"/>
      <c r="D35" s="89"/>
      <c r="E35" s="89"/>
      <c r="F35" s="89"/>
      <c r="G35" s="89"/>
      <c r="H35" s="89"/>
      <c r="I35" s="323"/>
      <c r="J35" s="323"/>
      <c r="K35" s="323"/>
      <c r="M35" s="294"/>
    </row>
    <row r="36" spans="1:16" s="294" customFormat="1">
      <c r="A36" s="228" t="s">
        <v>39</v>
      </c>
      <c r="B36" s="49" t="s">
        <v>49</v>
      </c>
      <c r="C36" s="229">
        <f>D36+E36</f>
        <v>6018</v>
      </c>
      <c r="D36" s="229">
        <v>4962.6000000000004</v>
      </c>
      <c r="E36" s="229">
        <v>1055.4000000000001</v>
      </c>
      <c r="F36" s="229">
        <f>G36+H36</f>
        <v>0</v>
      </c>
      <c r="G36" s="229"/>
      <c r="H36" s="229"/>
      <c r="I36" s="323"/>
      <c r="J36" s="323"/>
      <c r="K36" s="323"/>
      <c r="L36" s="294">
        <v>476.04599999999999</v>
      </c>
      <c r="M36" s="294">
        <v>105.92700000000001</v>
      </c>
    </row>
    <row r="37" spans="1:16" ht="20.25" customHeight="1">
      <c r="A37" s="228" t="s">
        <v>41</v>
      </c>
      <c r="B37" s="49" t="s">
        <v>50</v>
      </c>
      <c r="C37" s="89"/>
      <c r="D37" s="89"/>
      <c r="E37" s="89"/>
      <c r="F37" s="89"/>
      <c r="G37" s="89"/>
      <c r="H37" s="89"/>
      <c r="I37" s="323"/>
      <c r="J37" s="323"/>
      <c r="K37" s="323"/>
      <c r="L37" s="144"/>
      <c r="M37" s="297"/>
    </row>
    <row r="38" spans="1:16" s="294" customFormat="1" ht="24.75" customHeight="1">
      <c r="A38" s="228" t="s">
        <v>23</v>
      </c>
      <c r="B38" s="49" t="s">
        <v>165</v>
      </c>
      <c r="C38" s="229">
        <f>C39+C48</f>
        <v>6188</v>
      </c>
      <c r="D38" s="229">
        <f t="shared" ref="D38:H38" si="8">D39+D48</f>
        <v>5178</v>
      </c>
      <c r="E38" s="229">
        <f t="shared" si="8"/>
        <v>1010</v>
      </c>
      <c r="F38" s="229">
        <f>F39+F48</f>
        <v>103485.584455</v>
      </c>
      <c r="G38" s="229">
        <f>G39+G48</f>
        <v>94263.987162000005</v>
      </c>
      <c r="H38" s="229">
        <f t="shared" si="8"/>
        <v>9221.5972930000025</v>
      </c>
      <c r="I38" s="323">
        <f t="shared" si="3"/>
        <v>1672.3591540885586</v>
      </c>
      <c r="J38" s="323">
        <f t="shared" si="4"/>
        <v>1820.4709764774045</v>
      </c>
      <c r="K38" s="323">
        <f t="shared" si="5"/>
        <v>913.02943495049522</v>
      </c>
      <c r="L38" s="297"/>
      <c r="M38" s="297"/>
    </row>
    <row r="39" spans="1:16" s="294" customFormat="1" ht="24" customHeight="1">
      <c r="A39" s="228" t="s">
        <v>3</v>
      </c>
      <c r="B39" s="49" t="s">
        <v>52</v>
      </c>
      <c r="C39" s="229">
        <f>D39+E39</f>
        <v>0</v>
      </c>
      <c r="D39" s="229">
        <f>D41+D42+D43</f>
        <v>0</v>
      </c>
      <c r="E39" s="229">
        <f t="shared" ref="E39" si="9">E41+E42+E43</f>
        <v>0</v>
      </c>
      <c r="F39" s="229">
        <f>F40+F44</f>
        <v>78973.546455000003</v>
      </c>
      <c r="G39" s="229">
        <f t="shared" ref="G39:H39" si="10">G40+G44</f>
        <v>71322.850162000002</v>
      </c>
      <c r="H39" s="229">
        <f t="shared" si="10"/>
        <v>7650.6962930000009</v>
      </c>
      <c r="I39" s="323"/>
      <c r="J39" s="323"/>
      <c r="K39" s="323"/>
      <c r="L39" s="299"/>
      <c r="M39" s="145"/>
    </row>
    <row r="40" spans="1:16" s="294" customFormat="1" ht="24" customHeight="1">
      <c r="A40" s="52" t="s">
        <v>166</v>
      </c>
      <c r="B40" s="53" t="s">
        <v>167</v>
      </c>
      <c r="C40" s="229"/>
      <c r="D40" s="229"/>
      <c r="E40" s="229"/>
      <c r="F40" s="229">
        <f>F41+F42+F43</f>
        <v>66926.838497999997</v>
      </c>
      <c r="G40" s="229">
        <f t="shared" ref="G40:H40" si="11">G41+G42+G43</f>
        <v>66926.838497999997</v>
      </c>
      <c r="H40" s="229">
        <f t="shared" si="11"/>
        <v>0</v>
      </c>
      <c r="I40" s="323"/>
      <c r="J40" s="323"/>
      <c r="K40" s="323"/>
      <c r="L40" s="299"/>
      <c r="M40" s="145"/>
    </row>
    <row r="41" spans="1:16" ht="39.6" customHeight="1">
      <c r="A41" s="55" t="s">
        <v>168</v>
      </c>
      <c r="B41" s="56" t="s">
        <v>414</v>
      </c>
      <c r="C41" s="89">
        <f>D41+E41</f>
        <v>0</v>
      </c>
      <c r="D41" s="87"/>
      <c r="E41" s="87"/>
      <c r="F41" s="89">
        <f>G41+H41</f>
        <v>38043.737800000003</v>
      </c>
      <c r="G41" s="87">
        <v>38043.737800000003</v>
      </c>
      <c r="H41" s="87"/>
      <c r="I41" s="323"/>
      <c r="J41" s="323"/>
      <c r="K41" s="323"/>
      <c r="M41" s="303"/>
    </row>
    <row r="42" spans="1:16" ht="39.6" customHeight="1">
      <c r="A42" s="55" t="s">
        <v>172</v>
      </c>
      <c r="B42" s="56" t="s">
        <v>413</v>
      </c>
      <c r="C42" s="89">
        <f>D42+E42</f>
        <v>0</v>
      </c>
      <c r="D42" s="89"/>
      <c r="E42" s="89"/>
      <c r="F42" s="89">
        <f>G42+H42</f>
        <v>10049.431500000001</v>
      </c>
      <c r="G42" s="89">
        <v>10049.431500000001</v>
      </c>
      <c r="H42" s="89"/>
      <c r="I42" s="323"/>
      <c r="J42" s="323"/>
      <c r="K42" s="323"/>
      <c r="L42" s="304"/>
    </row>
    <row r="43" spans="1:16" ht="55.35" customHeight="1">
      <c r="A43" s="55" t="s">
        <v>178</v>
      </c>
      <c r="B43" s="56" t="s">
        <v>412</v>
      </c>
      <c r="C43" s="89">
        <f t="shared" ref="C43:C50" si="12">D43+E43</f>
        <v>0</v>
      </c>
      <c r="D43" s="89"/>
      <c r="E43" s="89"/>
      <c r="F43" s="89">
        <f>G43+H43</f>
        <v>18833.669198</v>
      </c>
      <c r="G43" s="89">
        <v>18833.669198</v>
      </c>
      <c r="H43" s="89"/>
      <c r="I43" s="323"/>
      <c r="J43" s="323"/>
      <c r="K43" s="323"/>
    </row>
    <row r="44" spans="1:16" s="294" customFormat="1" ht="28.5" customHeight="1">
      <c r="A44" s="52" t="s">
        <v>174</v>
      </c>
      <c r="B44" s="53" t="s">
        <v>175</v>
      </c>
      <c r="C44" s="229"/>
      <c r="D44" s="229"/>
      <c r="E44" s="229"/>
      <c r="F44" s="229">
        <f>F45+F46+F47</f>
        <v>12046.707957000001</v>
      </c>
      <c r="G44" s="229">
        <f t="shared" ref="G44:H44" si="13">G45+G46+G47</f>
        <v>4396.0116639999997</v>
      </c>
      <c r="H44" s="229">
        <f t="shared" si="13"/>
        <v>7650.6962930000009</v>
      </c>
      <c r="I44" s="323"/>
      <c r="J44" s="323"/>
      <c r="K44" s="323"/>
    </row>
    <row r="45" spans="1:16" ht="55.35" customHeight="1">
      <c r="A45" s="55" t="s">
        <v>168</v>
      </c>
      <c r="B45" s="56" t="s">
        <v>414</v>
      </c>
      <c r="C45" s="89"/>
      <c r="D45" s="89"/>
      <c r="E45" s="89"/>
      <c r="F45" s="89">
        <f>G45+H45</f>
        <v>3452.8515000000002</v>
      </c>
      <c r="G45" s="89">
        <v>797.9</v>
      </c>
      <c r="H45" s="89">
        <v>2654.9515000000001</v>
      </c>
      <c r="I45" s="323"/>
      <c r="J45" s="323"/>
      <c r="K45" s="323"/>
    </row>
    <row r="46" spans="1:16" ht="55.35" customHeight="1">
      <c r="A46" s="55" t="s">
        <v>172</v>
      </c>
      <c r="B46" s="56" t="s">
        <v>413</v>
      </c>
      <c r="C46" s="89"/>
      <c r="D46" s="89"/>
      <c r="E46" s="89"/>
      <c r="F46" s="89">
        <f t="shared" ref="F46:F47" si="14">G46+H46</f>
        <v>1587.3837330000001</v>
      </c>
      <c r="G46" s="89">
        <v>912.52743299999997</v>
      </c>
      <c r="H46" s="89">
        <v>674.85630000000003</v>
      </c>
      <c r="I46" s="323"/>
      <c r="J46" s="323"/>
      <c r="K46" s="323"/>
    </row>
    <row r="47" spans="1:16" ht="55.35" customHeight="1">
      <c r="A47" s="55" t="s">
        <v>178</v>
      </c>
      <c r="B47" s="56" t="s">
        <v>412</v>
      </c>
      <c r="C47" s="89"/>
      <c r="D47" s="89"/>
      <c r="E47" s="89"/>
      <c r="F47" s="89">
        <f t="shared" si="14"/>
        <v>7006.4727240000002</v>
      </c>
      <c r="G47" s="89">
        <v>2685.5842309999998</v>
      </c>
      <c r="H47" s="89">
        <v>4320.8884930000004</v>
      </c>
      <c r="I47" s="323"/>
      <c r="J47" s="323"/>
      <c r="K47" s="323"/>
    </row>
    <row r="48" spans="1:16" s="294" customFormat="1">
      <c r="A48" s="228" t="s">
        <v>31</v>
      </c>
      <c r="B48" s="49" t="s">
        <v>182</v>
      </c>
      <c r="C48" s="229">
        <f t="shared" si="12"/>
        <v>6188</v>
      </c>
      <c r="D48" s="229">
        <f>D49+D50</f>
        <v>5178</v>
      </c>
      <c r="E48" s="229">
        <f t="shared" ref="E48:H48" si="15">E49+E50</f>
        <v>1010</v>
      </c>
      <c r="F48" s="229">
        <f t="shared" si="15"/>
        <v>24512.038</v>
      </c>
      <c r="G48" s="229">
        <f t="shared" si="15"/>
        <v>22941.136999999999</v>
      </c>
      <c r="H48" s="229">
        <f t="shared" si="15"/>
        <v>1570.9010000000017</v>
      </c>
      <c r="I48" s="323">
        <f t="shared" si="3"/>
        <v>396.12213962508082</v>
      </c>
      <c r="J48" s="323">
        <f t="shared" si="4"/>
        <v>443.05015449980687</v>
      </c>
      <c r="K48" s="323">
        <f t="shared" si="5"/>
        <v>155.53475247524767</v>
      </c>
      <c r="M48" s="145"/>
      <c r="P48" s="297"/>
    </row>
    <row r="49" spans="1:13">
      <c r="A49" s="61">
        <v>1</v>
      </c>
      <c r="B49" s="139" t="s">
        <v>167</v>
      </c>
      <c r="C49" s="89">
        <f>D49+E49</f>
        <v>5058</v>
      </c>
      <c r="D49" s="89">
        <v>5058</v>
      </c>
      <c r="E49" s="89"/>
      <c r="F49" s="89">
        <f>G49+H49</f>
        <v>4727.3603000000003</v>
      </c>
      <c r="G49" s="89">
        <v>4727.3603000000003</v>
      </c>
      <c r="H49" s="89"/>
      <c r="I49" s="87">
        <f t="shared" si="3"/>
        <v>93.463034796362194</v>
      </c>
      <c r="J49" s="87">
        <f t="shared" si="4"/>
        <v>93.463034796362194</v>
      </c>
      <c r="K49" s="87"/>
    </row>
    <row r="50" spans="1:13">
      <c r="A50" s="61">
        <v>2</v>
      </c>
      <c r="B50" s="139" t="s">
        <v>175</v>
      </c>
      <c r="C50" s="89">
        <f t="shared" si="12"/>
        <v>1130</v>
      </c>
      <c r="D50" s="89">
        <v>120</v>
      </c>
      <c r="E50" s="89">
        <v>1010</v>
      </c>
      <c r="F50" s="89">
        <f>G50+H50</f>
        <v>19784.6777</v>
      </c>
      <c r="G50" s="89">
        <v>18213.776699999999</v>
      </c>
      <c r="H50" s="89">
        <v>1570.9010000000017</v>
      </c>
      <c r="I50" s="87">
        <f t="shared" si="3"/>
        <v>1750.8564336283187</v>
      </c>
      <c r="J50" s="87">
        <f t="shared" si="4"/>
        <v>15178.147249999998</v>
      </c>
      <c r="K50" s="87">
        <f t="shared" si="5"/>
        <v>155.53475247524767</v>
      </c>
    </row>
    <row r="51" spans="1:13" s="294" customFormat="1">
      <c r="A51" s="228" t="s">
        <v>56</v>
      </c>
      <c r="B51" s="49" t="s">
        <v>211</v>
      </c>
      <c r="C51" s="229"/>
      <c r="D51" s="229"/>
      <c r="E51" s="229"/>
      <c r="F51" s="225">
        <f>G51+H51</f>
        <v>999.88757699999996</v>
      </c>
      <c r="G51" s="229">
        <v>772.35249999999996</v>
      </c>
      <c r="H51" s="229">
        <v>227.535077</v>
      </c>
      <c r="I51" s="323"/>
      <c r="J51" s="323"/>
      <c r="K51" s="323"/>
      <c r="L51" s="297"/>
    </row>
    <row r="52" spans="1:13" s="294" customFormat="1">
      <c r="A52" s="228" t="s">
        <v>58</v>
      </c>
      <c r="B52" s="49" t="s">
        <v>190</v>
      </c>
      <c r="C52" s="229"/>
      <c r="D52" s="229"/>
      <c r="E52" s="229"/>
      <c r="F52" s="229">
        <f>G52+H52</f>
        <v>134562.70705299999</v>
      </c>
      <c r="G52" s="229">
        <v>124508.564511</v>
      </c>
      <c r="H52" s="229">
        <v>10054.142542</v>
      </c>
      <c r="I52" s="323"/>
      <c r="J52" s="323"/>
      <c r="K52" s="323"/>
      <c r="M52" s="145"/>
    </row>
    <row r="53" spans="1:13" ht="49.5" customHeight="1">
      <c r="A53" s="369" t="s">
        <v>191</v>
      </c>
      <c r="B53" s="369"/>
      <c r="C53" s="369"/>
      <c r="D53" s="369"/>
      <c r="E53" s="369"/>
      <c r="F53" s="369"/>
      <c r="G53" s="369"/>
      <c r="H53" s="369"/>
      <c r="I53" s="369"/>
      <c r="J53" s="369"/>
      <c r="K53" s="369"/>
    </row>
  </sheetData>
  <mergeCells count="11">
    <mergeCell ref="A1:B1"/>
    <mergeCell ref="A53:K53"/>
    <mergeCell ref="A2:K2"/>
    <mergeCell ref="A3:K3"/>
    <mergeCell ref="A5:A6"/>
    <mergeCell ref="B5:B6"/>
    <mergeCell ref="C5:C6"/>
    <mergeCell ref="D5:E5"/>
    <mergeCell ref="F5:F6"/>
    <mergeCell ref="G5:H5"/>
    <mergeCell ref="I5:K5"/>
  </mergeCells>
  <pageMargins left="0.33" right="0.17" top="0.42" bottom="0.44"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96"/>
  <sheetViews>
    <sheetView workbookViewId="0">
      <pane xSplit="6" ySplit="8" topLeftCell="K81" activePane="bottomRight" state="frozen"/>
      <selection pane="topRight" activeCell="G1" sqref="G1"/>
      <selection pane="bottomLeft" activeCell="A10" sqref="A10"/>
      <selection pane="bottomRight" activeCell="T10" sqref="T10"/>
    </sheetView>
  </sheetViews>
  <sheetFormatPr defaultColWidth="10" defaultRowHeight="15.75"/>
  <cols>
    <col min="1" max="1" width="4.85546875" style="93" customWidth="1"/>
    <col min="2" max="2" width="39.28515625" style="93" customWidth="1"/>
    <col min="3" max="14" width="9.5703125" style="93" customWidth="1"/>
    <col min="15" max="15" width="10.140625" style="93" customWidth="1"/>
    <col min="16" max="16" width="7.85546875" style="93" customWidth="1"/>
    <col min="17" max="17" width="8.5703125" style="93" customWidth="1"/>
    <col min="18" max="18" width="9.42578125" style="93" customWidth="1"/>
    <col min="19" max="19" width="9" style="93" customWidth="1"/>
    <col min="20" max="20" width="9.140625" style="93" customWidth="1"/>
    <col min="21" max="21" width="8.28515625" style="93" customWidth="1"/>
    <col min="22" max="22" width="10" style="93"/>
    <col min="23" max="23" width="15.5703125" style="93" bestFit="1" customWidth="1"/>
    <col min="24" max="255" width="10" style="93"/>
    <col min="256" max="256" width="6" style="93" customWidth="1"/>
    <col min="257" max="257" width="38.5703125" style="93" customWidth="1"/>
    <col min="258" max="258" width="12.28515625" style="93" bestFit="1" customWidth="1"/>
    <col min="259" max="259" width="8.28515625" style="93" customWidth="1"/>
    <col min="260" max="260" width="11.28515625" style="93" customWidth="1"/>
    <col min="261" max="261" width="12.28515625" style="93" customWidth="1"/>
    <col min="262" max="262" width="11.140625" style="93" bestFit="1" customWidth="1"/>
    <col min="263" max="263" width="10.140625" style="93" customWidth="1"/>
    <col min="264" max="264" width="11.85546875" style="93" customWidth="1"/>
    <col min="265" max="265" width="10" style="93" customWidth="1"/>
    <col min="266" max="266" width="13.85546875" style="93" customWidth="1"/>
    <col min="267" max="267" width="10.140625" style="93" customWidth="1"/>
    <col min="268" max="268" width="11.140625" style="93" bestFit="1" customWidth="1"/>
    <col min="269" max="269" width="11.5703125" style="93" customWidth="1"/>
    <col min="270" max="270" width="10.140625" style="93" customWidth="1"/>
    <col min="271" max="271" width="7.85546875" style="93" customWidth="1"/>
    <col min="272" max="272" width="8.5703125" style="93" customWidth="1"/>
    <col min="273" max="273" width="9.42578125" style="93" customWidth="1"/>
    <col min="274" max="274" width="9" style="93" customWidth="1"/>
    <col min="275" max="275" width="9.140625" style="93" customWidth="1"/>
    <col min="276" max="276" width="8.28515625" style="93" customWidth="1"/>
    <col min="277" max="511" width="10" style="93"/>
    <col min="512" max="512" width="6" style="93" customWidth="1"/>
    <col min="513" max="513" width="38.5703125" style="93" customWidth="1"/>
    <col min="514" max="514" width="12.28515625" style="93" bestFit="1" customWidth="1"/>
    <col min="515" max="515" width="8.28515625" style="93" customWidth="1"/>
    <col min="516" max="516" width="11.28515625" style="93" customWidth="1"/>
    <col min="517" max="517" width="12.28515625" style="93" customWidth="1"/>
    <col min="518" max="518" width="11.140625" style="93" bestFit="1" customWidth="1"/>
    <col min="519" max="519" width="10.140625" style="93" customWidth="1"/>
    <col min="520" max="520" width="11.85546875" style="93" customWidth="1"/>
    <col min="521" max="521" width="10" style="93" customWidth="1"/>
    <col min="522" max="522" width="13.85546875" style="93" customWidth="1"/>
    <col min="523" max="523" width="10.140625" style="93" customWidth="1"/>
    <col min="524" max="524" width="11.140625" style="93" bestFit="1" customWidth="1"/>
    <col min="525" max="525" width="11.5703125" style="93" customWidth="1"/>
    <col min="526" max="526" width="10.140625" style="93" customWidth="1"/>
    <col min="527" max="527" width="7.85546875" style="93" customWidth="1"/>
    <col min="528" max="528" width="8.5703125" style="93" customWidth="1"/>
    <col min="529" max="529" width="9.42578125" style="93" customWidth="1"/>
    <col min="530" max="530" width="9" style="93" customWidth="1"/>
    <col min="531" max="531" width="9.140625" style="93" customWidth="1"/>
    <col min="532" max="532" width="8.28515625" style="93" customWidth="1"/>
    <col min="533" max="767" width="10" style="93"/>
    <col min="768" max="768" width="6" style="93" customWidth="1"/>
    <col min="769" max="769" width="38.5703125" style="93" customWidth="1"/>
    <col min="770" max="770" width="12.28515625" style="93" bestFit="1" customWidth="1"/>
    <col min="771" max="771" width="8.28515625" style="93" customWidth="1"/>
    <col min="772" max="772" width="11.28515625" style="93" customWidth="1"/>
    <col min="773" max="773" width="12.28515625" style="93" customWidth="1"/>
    <col min="774" max="774" width="11.140625" style="93" bestFit="1" customWidth="1"/>
    <col min="775" max="775" width="10.140625" style="93" customWidth="1"/>
    <col min="776" max="776" width="11.85546875" style="93" customWidth="1"/>
    <col min="777" max="777" width="10" style="93" customWidth="1"/>
    <col min="778" max="778" width="13.85546875" style="93" customWidth="1"/>
    <col min="779" max="779" width="10.140625" style="93" customWidth="1"/>
    <col min="780" max="780" width="11.140625" style="93" bestFit="1" customWidth="1"/>
    <col min="781" max="781" width="11.5703125" style="93" customWidth="1"/>
    <col min="782" max="782" width="10.140625" style="93" customWidth="1"/>
    <col min="783" max="783" width="7.85546875" style="93" customWidth="1"/>
    <col min="784" max="784" width="8.5703125" style="93" customWidth="1"/>
    <col min="785" max="785" width="9.42578125" style="93" customWidth="1"/>
    <col min="786" max="786" width="9" style="93" customWidth="1"/>
    <col min="787" max="787" width="9.140625" style="93" customWidth="1"/>
    <col min="788" max="788" width="8.28515625" style="93" customWidth="1"/>
    <col min="789" max="1023" width="10" style="93"/>
    <col min="1024" max="1024" width="6" style="93" customWidth="1"/>
    <col min="1025" max="1025" width="38.5703125" style="93" customWidth="1"/>
    <col min="1026" max="1026" width="12.28515625" style="93" bestFit="1" customWidth="1"/>
    <col min="1027" max="1027" width="8.28515625" style="93" customWidth="1"/>
    <col min="1028" max="1028" width="11.28515625" style="93" customWidth="1"/>
    <col min="1029" max="1029" width="12.28515625" style="93" customWidth="1"/>
    <col min="1030" max="1030" width="11.140625" style="93" bestFit="1" customWidth="1"/>
    <col min="1031" max="1031" width="10.140625" style="93" customWidth="1"/>
    <col min="1032" max="1032" width="11.85546875" style="93" customWidth="1"/>
    <col min="1033" max="1033" width="10" style="93" customWidth="1"/>
    <col min="1034" max="1034" width="13.85546875" style="93" customWidth="1"/>
    <col min="1035" max="1035" width="10.140625" style="93" customWidth="1"/>
    <col min="1036" max="1036" width="11.140625" style="93" bestFit="1" customWidth="1"/>
    <col min="1037" max="1037" width="11.5703125" style="93" customWidth="1"/>
    <col min="1038" max="1038" width="10.140625" style="93" customWidth="1"/>
    <col min="1039" max="1039" width="7.85546875" style="93" customWidth="1"/>
    <col min="1040" max="1040" width="8.5703125" style="93" customWidth="1"/>
    <col min="1041" max="1041" width="9.42578125" style="93" customWidth="1"/>
    <col min="1042" max="1042" width="9" style="93" customWidth="1"/>
    <col min="1043" max="1043" width="9.140625" style="93" customWidth="1"/>
    <col min="1044" max="1044" width="8.28515625" style="93" customWidth="1"/>
    <col min="1045" max="1279" width="10" style="93"/>
    <col min="1280" max="1280" width="6" style="93" customWidth="1"/>
    <col min="1281" max="1281" width="38.5703125" style="93" customWidth="1"/>
    <col min="1282" max="1282" width="12.28515625" style="93" bestFit="1" customWidth="1"/>
    <col min="1283" max="1283" width="8.28515625" style="93" customWidth="1"/>
    <col min="1284" max="1284" width="11.28515625" style="93" customWidth="1"/>
    <col min="1285" max="1285" width="12.28515625" style="93" customWidth="1"/>
    <col min="1286" max="1286" width="11.140625" style="93" bestFit="1" customWidth="1"/>
    <col min="1287" max="1287" width="10.140625" style="93" customWidth="1"/>
    <col min="1288" max="1288" width="11.85546875" style="93" customWidth="1"/>
    <col min="1289" max="1289" width="10" style="93" customWidth="1"/>
    <col min="1290" max="1290" width="13.85546875" style="93" customWidth="1"/>
    <col min="1291" max="1291" width="10.140625" style="93" customWidth="1"/>
    <col min="1292" max="1292" width="11.140625" style="93" bestFit="1" customWidth="1"/>
    <col min="1293" max="1293" width="11.5703125" style="93" customWidth="1"/>
    <col min="1294" max="1294" width="10.140625" style="93" customWidth="1"/>
    <col min="1295" max="1295" width="7.85546875" style="93" customWidth="1"/>
    <col min="1296" max="1296" width="8.5703125" style="93" customWidth="1"/>
    <col min="1297" max="1297" width="9.42578125" style="93" customWidth="1"/>
    <col min="1298" max="1298" width="9" style="93" customWidth="1"/>
    <col min="1299" max="1299" width="9.140625" style="93" customWidth="1"/>
    <col min="1300" max="1300" width="8.28515625" style="93" customWidth="1"/>
    <col min="1301" max="1535" width="10" style="93"/>
    <col min="1536" max="1536" width="6" style="93" customWidth="1"/>
    <col min="1537" max="1537" width="38.5703125" style="93" customWidth="1"/>
    <col min="1538" max="1538" width="12.28515625" style="93" bestFit="1" customWidth="1"/>
    <col min="1539" max="1539" width="8.28515625" style="93" customWidth="1"/>
    <col min="1540" max="1540" width="11.28515625" style="93" customWidth="1"/>
    <col min="1541" max="1541" width="12.28515625" style="93" customWidth="1"/>
    <col min="1542" max="1542" width="11.140625" style="93" bestFit="1" customWidth="1"/>
    <col min="1543" max="1543" width="10.140625" style="93" customWidth="1"/>
    <col min="1544" max="1544" width="11.85546875" style="93" customWidth="1"/>
    <col min="1545" max="1545" width="10" style="93" customWidth="1"/>
    <col min="1546" max="1546" width="13.85546875" style="93" customWidth="1"/>
    <col min="1547" max="1547" width="10.140625" style="93" customWidth="1"/>
    <col min="1548" max="1548" width="11.140625" style="93" bestFit="1" customWidth="1"/>
    <col min="1549" max="1549" width="11.5703125" style="93" customWidth="1"/>
    <col min="1550" max="1550" width="10.140625" style="93" customWidth="1"/>
    <col min="1551" max="1551" width="7.85546875" style="93" customWidth="1"/>
    <col min="1552" max="1552" width="8.5703125" style="93" customWidth="1"/>
    <col min="1553" max="1553" width="9.42578125" style="93" customWidth="1"/>
    <col min="1554" max="1554" width="9" style="93" customWidth="1"/>
    <col min="1555" max="1555" width="9.140625" style="93" customWidth="1"/>
    <col min="1556" max="1556" width="8.28515625" style="93" customWidth="1"/>
    <col min="1557" max="1791" width="10" style="93"/>
    <col min="1792" max="1792" width="6" style="93" customWidth="1"/>
    <col min="1793" max="1793" width="38.5703125" style="93" customWidth="1"/>
    <col min="1794" max="1794" width="12.28515625" style="93" bestFit="1" customWidth="1"/>
    <col min="1795" max="1795" width="8.28515625" style="93" customWidth="1"/>
    <col min="1796" max="1796" width="11.28515625" style="93" customWidth="1"/>
    <col min="1797" max="1797" width="12.28515625" style="93" customWidth="1"/>
    <col min="1798" max="1798" width="11.140625" style="93" bestFit="1" customWidth="1"/>
    <col min="1799" max="1799" width="10.140625" style="93" customWidth="1"/>
    <col min="1800" max="1800" width="11.85546875" style="93" customWidth="1"/>
    <col min="1801" max="1801" width="10" style="93" customWidth="1"/>
    <col min="1802" max="1802" width="13.85546875" style="93" customWidth="1"/>
    <col min="1803" max="1803" width="10.140625" style="93" customWidth="1"/>
    <col min="1804" max="1804" width="11.140625" style="93" bestFit="1" customWidth="1"/>
    <col min="1805" max="1805" width="11.5703125" style="93" customWidth="1"/>
    <col min="1806" max="1806" width="10.140625" style="93" customWidth="1"/>
    <col min="1807" max="1807" width="7.85546875" style="93" customWidth="1"/>
    <col min="1808" max="1808" width="8.5703125" style="93" customWidth="1"/>
    <col min="1809" max="1809" width="9.42578125" style="93" customWidth="1"/>
    <col min="1810" max="1810" width="9" style="93" customWidth="1"/>
    <col min="1811" max="1811" width="9.140625" style="93" customWidth="1"/>
    <col min="1812" max="1812" width="8.28515625" style="93" customWidth="1"/>
    <col min="1813" max="2047" width="10" style="93"/>
    <col min="2048" max="2048" width="6" style="93" customWidth="1"/>
    <col min="2049" max="2049" width="38.5703125" style="93" customWidth="1"/>
    <col min="2050" max="2050" width="12.28515625" style="93" bestFit="1" customWidth="1"/>
    <col min="2051" max="2051" width="8.28515625" style="93" customWidth="1"/>
    <col min="2052" max="2052" width="11.28515625" style="93" customWidth="1"/>
    <col min="2053" max="2053" width="12.28515625" style="93" customWidth="1"/>
    <col min="2054" max="2054" width="11.140625" style="93" bestFit="1" customWidth="1"/>
    <col min="2055" max="2055" width="10.140625" style="93" customWidth="1"/>
    <col min="2056" max="2056" width="11.85546875" style="93" customWidth="1"/>
    <col min="2057" max="2057" width="10" style="93" customWidth="1"/>
    <col min="2058" max="2058" width="13.85546875" style="93" customWidth="1"/>
    <col min="2059" max="2059" width="10.140625" style="93" customWidth="1"/>
    <col min="2060" max="2060" width="11.140625" style="93" bestFit="1" customWidth="1"/>
    <col min="2061" max="2061" width="11.5703125" style="93" customWidth="1"/>
    <col min="2062" max="2062" width="10.140625" style="93" customWidth="1"/>
    <col min="2063" max="2063" width="7.85546875" style="93" customWidth="1"/>
    <col min="2064" max="2064" width="8.5703125" style="93" customWidth="1"/>
    <col min="2065" max="2065" width="9.42578125" style="93" customWidth="1"/>
    <col min="2066" max="2066" width="9" style="93" customWidth="1"/>
    <col min="2067" max="2067" width="9.140625" style="93" customWidth="1"/>
    <col min="2068" max="2068" width="8.28515625" style="93" customWidth="1"/>
    <col min="2069" max="2303" width="10" style="93"/>
    <col min="2304" max="2304" width="6" style="93" customWidth="1"/>
    <col min="2305" max="2305" width="38.5703125" style="93" customWidth="1"/>
    <col min="2306" max="2306" width="12.28515625" style="93" bestFit="1" customWidth="1"/>
    <col min="2307" max="2307" width="8.28515625" style="93" customWidth="1"/>
    <col min="2308" max="2308" width="11.28515625" style="93" customWidth="1"/>
    <col min="2309" max="2309" width="12.28515625" style="93" customWidth="1"/>
    <col min="2310" max="2310" width="11.140625" style="93" bestFit="1" customWidth="1"/>
    <col min="2311" max="2311" width="10.140625" style="93" customWidth="1"/>
    <col min="2312" max="2312" width="11.85546875" style="93" customWidth="1"/>
    <col min="2313" max="2313" width="10" style="93" customWidth="1"/>
    <col min="2314" max="2314" width="13.85546875" style="93" customWidth="1"/>
    <col min="2315" max="2315" width="10.140625" style="93" customWidth="1"/>
    <col min="2316" max="2316" width="11.140625" style="93" bestFit="1" customWidth="1"/>
    <col min="2317" max="2317" width="11.5703125" style="93" customWidth="1"/>
    <col min="2318" max="2318" width="10.140625" style="93" customWidth="1"/>
    <col min="2319" max="2319" width="7.85546875" style="93" customWidth="1"/>
    <col min="2320" max="2320" width="8.5703125" style="93" customWidth="1"/>
    <col min="2321" max="2321" width="9.42578125" style="93" customWidth="1"/>
    <col min="2322" max="2322" width="9" style="93" customWidth="1"/>
    <col min="2323" max="2323" width="9.140625" style="93" customWidth="1"/>
    <col min="2324" max="2324" width="8.28515625" style="93" customWidth="1"/>
    <col min="2325" max="2559" width="10" style="93"/>
    <col min="2560" max="2560" width="6" style="93" customWidth="1"/>
    <col min="2561" max="2561" width="38.5703125" style="93" customWidth="1"/>
    <col min="2562" max="2562" width="12.28515625" style="93" bestFit="1" customWidth="1"/>
    <col min="2563" max="2563" width="8.28515625" style="93" customWidth="1"/>
    <col min="2564" max="2564" width="11.28515625" style="93" customWidth="1"/>
    <col min="2565" max="2565" width="12.28515625" style="93" customWidth="1"/>
    <col min="2566" max="2566" width="11.140625" style="93" bestFit="1" customWidth="1"/>
    <col min="2567" max="2567" width="10.140625" style="93" customWidth="1"/>
    <col min="2568" max="2568" width="11.85546875" style="93" customWidth="1"/>
    <col min="2569" max="2569" width="10" style="93" customWidth="1"/>
    <col min="2570" max="2570" width="13.85546875" style="93" customWidth="1"/>
    <col min="2571" max="2571" width="10.140625" style="93" customWidth="1"/>
    <col min="2572" max="2572" width="11.140625" style="93" bestFit="1" customWidth="1"/>
    <col min="2573" max="2573" width="11.5703125" style="93" customWidth="1"/>
    <col min="2574" max="2574" width="10.140625" style="93" customWidth="1"/>
    <col min="2575" max="2575" width="7.85546875" style="93" customWidth="1"/>
    <col min="2576" max="2576" width="8.5703125" style="93" customWidth="1"/>
    <col min="2577" max="2577" width="9.42578125" style="93" customWidth="1"/>
    <col min="2578" max="2578" width="9" style="93" customWidth="1"/>
    <col min="2579" max="2579" width="9.140625" style="93" customWidth="1"/>
    <col min="2580" max="2580" width="8.28515625" style="93" customWidth="1"/>
    <col min="2581" max="2815" width="10" style="93"/>
    <col min="2816" max="2816" width="6" style="93" customWidth="1"/>
    <col min="2817" max="2817" width="38.5703125" style="93" customWidth="1"/>
    <col min="2818" max="2818" width="12.28515625" style="93" bestFit="1" customWidth="1"/>
    <col min="2819" max="2819" width="8.28515625" style="93" customWidth="1"/>
    <col min="2820" max="2820" width="11.28515625" style="93" customWidth="1"/>
    <col min="2821" max="2821" width="12.28515625" style="93" customWidth="1"/>
    <col min="2822" max="2822" width="11.140625" style="93" bestFit="1" customWidth="1"/>
    <col min="2823" max="2823" width="10.140625" style="93" customWidth="1"/>
    <col min="2824" max="2824" width="11.85546875" style="93" customWidth="1"/>
    <col min="2825" max="2825" width="10" style="93" customWidth="1"/>
    <col min="2826" max="2826" width="13.85546875" style="93" customWidth="1"/>
    <col min="2827" max="2827" width="10.140625" style="93" customWidth="1"/>
    <col min="2828" max="2828" width="11.140625" style="93" bestFit="1" customWidth="1"/>
    <col min="2829" max="2829" width="11.5703125" style="93" customWidth="1"/>
    <col min="2830" max="2830" width="10.140625" style="93" customWidth="1"/>
    <col min="2831" max="2831" width="7.85546875" style="93" customWidth="1"/>
    <col min="2832" max="2832" width="8.5703125" style="93" customWidth="1"/>
    <col min="2833" max="2833" width="9.42578125" style="93" customWidth="1"/>
    <col min="2834" max="2834" width="9" style="93" customWidth="1"/>
    <col min="2835" max="2835" width="9.140625" style="93" customWidth="1"/>
    <col min="2836" max="2836" width="8.28515625" style="93" customWidth="1"/>
    <col min="2837" max="3071" width="10" style="93"/>
    <col min="3072" max="3072" width="6" style="93" customWidth="1"/>
    <col min="3073" max="3073" width="38.5703125" style="93" customWidth="1"/>
    <col min="3074" max="3074" width="12.28515625" style="93" bestFit="1" customWidth="1"/>
    <col min="3075" max="3075" width="8.28515625" style="93" customWidth="1"/>
    <col min="3076" max="3076" width="11.28515625" style="93" customWidth="1"/>
    <col min="3077" max="3077" width="12.28515625" style="93" customWidth="1"/>
    <col min="3078" max="3078" width="11.140625" style="93" bestFit="1" customWidth="1"/>
    <col min="3079" max="3079" width="10.140625" style="93" customWidth="1"/>
    <col min="3080" max="3080" width="11.85546875" style="93" customWidth="1"/>
    <col min="3081" max="3081" width="10" style="93" customWidth="1"/>
    <col min="3082" max="3082" width="13.85546875" style="93" customWidth="1"/>
    <col min="3083" max="3083" width="10.140625" style="93" customWidth="1"/>
    <col min="3084" max="3084" width="11.140625" style="93" bestFit="1" customWidth="1"/>
    <col min="3085" max="3085" width="11.5703125" style="93" customWidth="1"/>
    <col min="3086" max="3086" width="10.140625" style="93" customWidth="1"/>
    <col min="3087" max="3087" width="7.85546875" style="93" customWidth="1"/>
    <col min="3088" max="3088" width="8.5703125" style="93" customWidth="1"/>
    <col min="3089" max="3089" width="9.42578125" style="93" customWidth="1"/>
    <col min="3090" max="3090" width="9" style="93" customWidth="1"/>
    <col min="3091" max="3091" width="9.140625" style="93" customWidth="1"/>
    <col min="3092" max="3092" width="8.28515625" style="93" customWidth="1"/>
    <col min="3093" max="3327" width="10" style="93"/>
    <col min="3328" max="3328" width="6" style="93" customWidth="1"/>
    <col min="3329" max="3329" width="38.5703125" style="93" customWidth="1"/>
    <col min="3330" max="3330" width="12.28515625" style="93" bestFit="1" customWidth="1"/>
    <col min="3331" max="3331" width="8.28515625" style="93" customWidth="1"/>
    <col min="3332" max="3332" width="11.28515625" style="93" customWidth="1"/>
    <col min="3333" max="3333" width="12.28515625" style="93" customWidth="1"/>
    <col min="3334" max="3334" width="11.140625" style="93" bestFit="1" customWidth="1"/>
    <col min="3335" max="3335" width="10.140625" style="93" customWidth="1"/>
    <col min="3336" max="3336" width="11.85546875" style="93" customWidth="1"/>
    <col min="3337" max="3337" width="10" style="93" customWidth="1"/>
    <col min="3338" max="3338" width="13.85546875" style="93" customWidth="1"/>
    <col min="3339" max="3339" width="10.140625" style="93" customWidth="1"/>
    <col min="3340" max="3340" width="11.140625" style="93" bestFit="1" customWidth="1"/>
    <col min="3341" max="3341" width="11.5703125" style="93" customWidth="1"/>
    <col min="3342" max="3342" width="10.140625" style="93" customWidth="1"/>
    <col min="3343" max="3343" width="7.85546875" style="93" customWidth="1"/>
    <col min="3344" max="3344" width="8.5703125" style="93" customWidth="1"/>
    <col min="3345" max="3345" width="9.42578125" style="93" customWidth="1"/>
    <col min="3346" max="3346" width="9" style="93" customWidth="1"/>
    <col min="3347" max="3347" width="9.140625" style="93" customWidth="1"/>
    <col min="3348" max="3348" width="8.28515625" style="93" customWidth="1"/>
    <col min="3349" max="3583" width="10" style="93"/>
    <col min="3584" max="3584" width="6" style="93" customWidth="1"/>
    <col min="3585" max="3585" width="38.5703125" style="93" customWidth="1"/>
    <col min="3586" max="3586" width="12.28515625" style="93" bestFit="1" customWidth="1"/>
    <col min="3587" max="3587" width="8.28515625" style="93" customWidth="1"/>
    <col min="3588" max="3588" width="11.28515625" style="93" customWidth="1"/>
    <col min="3589" max="3589" width="12.28515625" style="93" customWidth="1"/>
    <col min="3590" max="3590" width="11.140625" style="93" bestFit="1" customWidth="1"/>
    <col min="3591" max="3591" width="10.140625" style="93" customWidth="1"/>
    <col min="3592" max="3592" width="11.85546875" style="93" customWidth="1"/>
    <col min="3593" max="3593" width="10" style="93" customWidth="1"/>
    <col min="3594" max="3594" width="13.85546875" style="93" customWidth="1"/>
    <col min="3595" max="3595" width="10.140625" style="93" customWidth="1"/>
    <col min="3596" max="3596" width="11.140625" style="93" bestFit="1" customWidth="1"/>
    <col min="3597" max="3597" width="11.5703125" style="93" customWidth="1"/>
    <col min="3598" max="3598" width="10.140625" style="93" customWidth="1"/>
    <col min="3599" max="3599" width="7.85546875" style="93" customWidth="1"/>
    <col min="3600" max="3600" width="8.5703125" style="93" customWidth="1"/>
    <col min="3601" max="3601" width="9.42578125" style="93" customWidth="1"/>
    <col min="3602" max="3602" width="9" style="93" customWidth="1"/>
    <col min="3603" max="3603" width="9.140625" style="93" customWidth="1"/>
    <col min="3604" max="3604" width="8.28515625" style="93" customWidth="1"/>
    <col min="3605" max="3839" width="10" style="93"/>
    <col min="3840" max="3840" width="6" style="93" customWidth="1"/>
    <col min="3841" max="3841" width="38.5703125" style="93" customWidth="1"/>
    <col min="3842" max="3842" width="12.28515625" style="93" bestFit="1" customWidth="1"/>
    <col min="3843" max="3843" width="8.28515625" style="93" customWidth="1"/>
    <col min="3844" max="3844" width="11.28515625" style="93" customWidth="1"/>
    <col min="3845" max="3845" width="12.28515625" style="93" customWidth="1"/>
    <col min="3846" max="3846" width="11.140625" style="93" bestFit="1" customWidth="1"/>
    <col min="3847" max="3847" width="10.140625" style="93" customWidth="1"/>
    <col min="3848" max="3848" width="11.85546875" style="93" customWidth="1"/>
    <col min="3849" max="3849" width="10" style="93" customWidth="1"/>
    <col min="3850" max="3850" width="13.85546875" style="93" customWidth="1"/>
    <col min="3851" max="3851" width="10.140625" style="93" customWidth="1"/>
    <col min="3852" max="3852" width="11.140625" style="93" bestFit="1" customWidth="1"/>
    <col min="3853" max="3853" width="11.5703125" style="93" customWidth="1"/>
    <col min="3854" max="3854" width="10.140625" style="93" customWidth="1"/>
    <col min="3855" max="3855" width="7.85546875" style="93" customWidth="1"/>
    <col min="3856" max="3856" width="8.5703125" style="93" customWidth="1"/>
    <col min="3857" max="3857" width="9.42578125" style="93" customWidth="1"/>
    <col min="3858" max="3858" width="9" style="93" customWidth="1"/>
    <col min="3859" max="3859" width="9.140625" style="93" customWidth="1"/>
    <col min="3860" max="3860" width="8.28515625" style="93" customWidth="1"/>
    <col min="3861" max="4095" width="10" style="93"/>
    <col min="4096" max="4096" width="6" style="93" customWidth="1"/>
    <col min="4097" max="4097" width="38.5703125" style="93" customWidth="1"/>
    <col min="4098" max="4098" width="12.28515625" style="93" bestFit="1" customWidth="1"/>
    <col min="4099" max="4099" width="8.28515625" style="93" customWidth="1"/>
    <col min="4100" max="4100" width="11.28515625" style="93" customWidth="1"/>
    <col min="4101" max="4101" width="12.28515625" style="93" customWidth="1"/>
    <col min="4102" max="4102" width="11.140625" style="93" bestFit="1" customWidth="1"/>
    <col min="4103" max="4103" width="10.140625" style="93" customWidth="1"/>
    <col min="4104" max="4104" width="11.85546875" style="93" customWidth="1"/>
    <col min="4105" max="4105" width="10" style="93" customWidth="1"/>
    <col min="4106" max="4106" width="13.85546875" style="93" customWidth="1"/>
    <col min="4107" max="4107" width="10.140625" style="93" customWidth="1"/>
    <col min="4108" max="4108" width="11.140625" style="93" bestFit="1" customWidth="1"/>
    <col min="4109" max="4109" width="11.5703125" style="93" customWidth="1"/>
    <col min="4110" max="4110" width="10.140625" style="93" customWidth="1"/>
    <col min="4111" max="4111" width="7.85546875" style="93" customWidth="1"/>
    <col min="4112" max="4112" width="8.5703125" style="93" customWidth="1"/>
    <col min="4113" max="4113" width="9.42578125" style="93" customWidth="1"/>
    <col min="4114" max="4114" width="9" style="93" customWidth="1"/>
    <col min="4115" max="4115" width="9.140625" style="93" customWidth="1"/>
    <col min="4116" max="4116" width="8.28515625" style="93" customWidth="1"/>
    <col min="4117" max="4351" width="10" style="93"/>
    <col min="4352" max="4352" width="6" style="93" customWidth="1"/>
    <col min="4353" max="4353" width="38.5703125" style="93" customWidth="1"/>
    <col min="4354" max="4354" width="12.28515625" style="93" bestFit="1" customWidth="1"/>
    <col min="4355" max="4355" width="8.28515625" style="93" customWidth="1"/>
    <col min="4356" max="4356" width="11.28515625" style="93" customWidth="1"/>
    <col min="4357" max="4357" width="12.28515625" style="93" customWidth="1"/>
    <col min="4358" max="4358" width="11.140625" style="93" bestFit="1" customWidth="1"/>
    <col min="4359" max="4359" width="10.140625" style="93" customWidth="1"/>
    <col min="4360" max="4360" width="11.85546875" style="93" customWidth="1"/>
    <col min="4361" max="4361" width="10" style="93" customWidth="1"/>
    <col min="4362" max="4362" width="13.85546875" style="93" customWidth="1"/>
    <col min="4363" max="4363" width="10.140625" style="93" customWidth="1"/>
    <col min="4364" max="4364" width="11.140625" style="93" bestFit="1" customWidth="1"/>
    <col min="4365" max="4365" width="11.5703125" style="93" customWidth="1"/>
    <col min="4366" max="4366" width="10.140625" style="93" customWidth="1"/>
    <col min="4367" max="4367" width="7.85546875" style="93" customWidth="1"/>
    <col min="4368" max="4368" width="8.5703125" style="93" customWidth="1"/>
    <col min="4369" max="4369" width="9.42578125" style="93" customWidth="1"/>
    <col min="4370" max="4370" width="9" style="93" customWidth="1"/>
    <col min="4371" max="4371" width="9.140625" style="93" customWidth="1"/>
    <col min="4372" max="4372" width="8.28515625" style="93" customWidth="1"/>
    <col min="4373" max="4607" width="10" style="93"/>
    <col min="4608" max="4608" width="6" style="93" customWidth="1"/>
    <col min="4609" max="4609" width="38.5703125" style="93" customWidth="1"/>
    <col min="4610" max="4610" width="12.28515625" style="93" bestFit="1" customWidth="1"/>
    <col min="4611" max="4611" width="8.28515625" style="93" customWidth="1"/>
    <col min="4612" max="4612" width="11.28515625" style="93" customWidth="1"/>
    <col min="4613" max="4613" width="12.28515625" style="93" customWidth="1"/>
    <col min="4614" max="4614" width="11.140625" style="93" bestFit="1" customWidth="1"/>
    <col min="4615" max="4615" width="10.140625" style="93" customWidth="1"/>
    <col min="4616" max="4616" width="11.85546875" style="93" customWidth="1"/>
    <col min="4617" max="4617" width="10" style="93" customWidth="1"/>
    <col min="4618" max="4618" width="13.85546875" style="93" customWidth="1"/>
    <col min="4619" max="4619" width="10.140625" style="93" customWidth="1"/>
    <col min="4620" max="4620" width="11.140625" style="93" bestFit="1" customWidth="1"/>
    <col min="4621" max="4621" width="11.5703125" style="93" customWidth="1"/>
    <col min="4622" max="4622" width="10.140625" style="93" customWidth="1"/>
    <col min="4623" max="4623" width="7.85546875" style="93" customWidth="1"/>
    <col min="4624" max="4624" width="8.5703125" style="93" customWidth="1"/>
    <col min="4625" max="4625" width="9.42578125" style="93" customWidth="1"/>
    <col min="4626" max="4626" width="9" style="93" customWidth="1"/>
    <col min="4627" max="4627" width="9.140625" style="93" customWidth="1"/>
    <col min="4628" max="4628" width="8.28515625" style="93" customWidth="1"/>
    <col min="4629" max="4863" width="10" style="93"/>
    <col min="4864" max="4864" width="6" style="93" customWidth="1"/>
    <col min="4865" max="4865" width="38.5703125" style="93" customWidth="1"/>
    <col min="4866" max="4866" width="12.28515625" style="93" bestFit="1" customWidth="1"/>
    <col min="4867" max="4867" width="8.28515625" style="93" customWidth="1"/>
    <col min="4868" max="4868" width="11.28515625" style="93" customWidth="1"/>
    <col min="4869" max="4869" width="12.28515625" style="93" customWidth="1"/>
    <col min="4870" max="4870" width="11.140625" style="93" bestFit="1" customWidth="1"/>
    <col min="4871" max="4871" width="10.140625" style="93" customWidth="1"/>
    <col min="4872" max="4872" width="11.85546875" style="93" customWidth="1"/>
    <col min="4873" max="4873" width="10" style="93" customWidth="1"/>
    <col min="4874" max="4874" width="13.85546875" style="93" customWidth="1"/>
    <col min="4875" max="4875" width="10.140625" style="93" customWidth="1"/>
    <col min="4876" max="4876" width="11.140625" style="93" bestFit="1" customWidth="1"/>
    <col min="4877" max="4877" width="11.5703125" style="93" customWidth="1"/>
    <col min="4878" max="4878" width="10.140625" style="93" customWidth="1"/>
    <col min="4879" max="4879" width="7.85546875" style="93" customWidth="1"/>
    <col min="4880" max="4880" width="8.5703125" style="93" customWidth="1"/>
    <col min="4881" max="4881" width="9.42578125" style="93" customWidth="1"/>
    <col min="4882" max="4882" width="9" style="93" customWidth="1"/>
    <col min="4883" max="4883" width="9.140625" style="93" customWidth="1"/>
    <col min="4884" max="4884" width="8.28515625" style="93" customWidth="1"/>
    <col min="4885" max="5119" width="10" style="93"/>
    <col min="5120" max="5120" width="6" style="93" customWidth="1"/>
    <col min="5121" max="5121" width="38.5703125" style="93" customWidth="1"/>
    <col min="5122" max="5122" width="12.28515625" style="93" bestFit="1" customWidth="1"/>
    <col min="5123" max="5123" width="8.28515625" style="93" customWidth="1"/>
    <col min="5124" max="5124" width="11.28515625" style="93" customWidth="1"/>
    <col min="5125" max="5125" width="12.28515625" style="93" customWidth="1"/>
    <col min="5126" max="5126" width="11.140625" style="93" bestFit="1" customWidth="1"/>
    <col min="5127" max="5127" width="10.140625" style="93" customWidth="1"/>
    <col min="5128" max="5128" width="11.85546875" style="93" customWidth="1"/>
    <col min="5129" max="5129" width="10" style="93" customWidth="1"/>
    <col min="5130" max="5130" width="13.85546875" style="93" customWidth="1"/>
    <col min="5131" max="5131" width="10.140625" style="93" customWidth="1"/>
    <col min="5132" max="5132" width="11.140625" style="93" bestFit="1" customWidth="1"/>
    <col min="5133" max="5133" width="11.5703125" style="93" customWidth="1"/>
    <col min="5134" max="5134" width="10.140625" style="93" customWidth="1"/>
    <col min="5135" max="5135" width="7.85546875" style="93" customWidth="1"/>
    <col min="5136" max="5136" width="8.5703125" style="93" customWidth="1"/>
    <col min="5137" max="5137" width="9.42578125" style="93" customWidth="1"/>
    <col min="5138" max="5138" width="9" style="93" customWidth="1"/>
    <col min="5139" max="5139" width="9.140625" style="93" customWidth="1"/>
    <col min="5140" max="5140" width="8.28515625" style="93" customWidth="1"/>
    <col min="5141" max="5375" width="10" style="93"/>
    <col min="5376" max="5376" width="6" style="93" customWidth="1"/>
    <col min="5377" max="5377" width="38.5703125" style="93" customWidth="1"/>
    <col min="5378" max="5378" width="12.28515625" style="93" bestFit="1" customWidth="1"/>
    <col min="5379" max="5379" width="8.28515625" style="93" customWidth="1"/>
    <col min="5380" max="5380" width="11.28515625" style="93" customWidth="1"/>
    <col min="5381" max="5381" width="12.28515625" style="93" customWidth="1"/>
    <col min="5382" max="5382" width="11.140625" style="93" bestFit="1" customWidth="1"/>
    <col min="5383" max="5383" width="10.140625" style="93" customWidth="1"/>
    <col min="5384" max="5384" width="11.85546875" style="93" customWidth="1"/>
    <col min="5385" max="5385" width="10" style="93" customWidth="1"/>
    <col min="5386" max="5386" width="13.85546875" style="93" customWidth="1"/>
    <col min="5387" max="5387" width="10.140625" style="93" customWidth="1"/>
    <col min="5388" max="5388" width="11.140625" style="93" bestFit="1" customWidth="1"/>
    <col min="5389" max="5389" width="11.5703125" style="93" customWidth="1"/>
    <col min="5390" max="5390" width="10.140625" style="93" customWidth="1"/>
    <col min="5391" max="5391" width="7.85546875" style="93" customWidth="1"/>
    <col min="5392" max="5392" width="8.5703125" style="93" customWidth="1"/>
    <col min="5393" max="5393" width="9.42578125" style="93" customWidth="1"/>
    <col min="5394" max="5394" width="9" style="93" customWidth="1"/>
    <col min="5395" max="5395" width="9.140625" style="93" customWidth="1"/>
    <col min="5396" max="5396" width="8.28515625" style="93" customWidth="1"/>
    <col min="5397" max="5631" width="10" style="93"/>
    <col min="5632" max="5632" width="6" style="93" customWidth="1"/>
    <col min="5633" max="5633" width="38.5703125" style="93" customWidth="1"/>
    <col min="5634" max="5634" width="12.28515625" style="93" bestFit="1" customWidth="1"/>
    <col min="5635" max="5635" width="8.28515625" style="93" customWidth="1"/>
    <col min="5636" max="5636" width="11.28515625" style="93" customWidth="1"/>
    <col min="5637" max="5637" width="12.28515625" style="93" customWidth="1"/>
    <col min="5638" max="5638" width="11.140625" style="93" bestFit="1" customWidth="1"/>
    <col min="5639" max="5639" width="10.140625" style="93" customWidth="1"/>
    <col min="5640" max="5640" width="11.85546875" style="93" customWidth="1"/>
    <col min="5641" max="5641" width="10" style="93" customWidth="1"/>
    <col min="5642" max="5642" width="13.85546875" style="93" customWidth="1"/>
    <col min="5643" max="5643" width="10.140625" style="93" customWidth="1"/>
    <col min="5644" max="5644" width="11.140625" style="93" bestFit="1" customWidth="1"/>
    <col min="5645" max="5645" width="11.5703125" style="93" customWidth="1"/>
    <col min="5646" max="5646" width="10.140625" style="93" customWidth="1"/>
    <col min="5647" max="5647" width="7.85546875" style="93" customWidth="1"/>
    <col min="5648" max="5648" width="8.5703125" style="93" customWidth="1"/>
    <col min="5649" max="5649" width="9.42578125" style="93" customWidth="1"/>
    <col min="5650" max="5650" width="9" style="93" customWidth="1"/>
    <col min="5651" max="5651" width="9.140625" style="93" customWidth="1"/>
    <col min="5652" max="5652" width="8.28515625" style="93" customWidth="1"/>
    <col min="5653" max="5887" width="10" style="93"/>
    <col min="5888" max="5888" width="6" style="93" customWidth="1"/>
    <col min="5889" max="5889" width="38.5703125" style="93" customWidth="1"/>
    <col min="5890" max="5890" width="12.28515625" style="93" bestFit="1" customWidth="1"/>
    <col min="5891" max="5891" width="8.28515625" style="93" customWidth="1"/>
    <col min="5892" max="5892" width="11.28515625" style="93" customWidth="1"/>
    <col min="5893" max="5893" width="12.28515625" style="93" customWidth="1"/>
    <col min="5894" max="5894" width="11.140625" style="93" bestFit="1" customWidth="1"/>
    <col min="5895" max="5895" width="10.140625" style="93" customWidth="1"/>
    <col min="5896" max="5896" width="11.85546875" style="93" customWidth="1"/>
    <col min="5897" max="5897" width="10" style="93" customWidth="1"/>
    <col min="5898" max="5898" width="13.85546875" style="93" customWidth="1"/>
    <col min="5899" max="5899" width="10.140625" style="93" customWidth="1"/>
    <col min="5900" max="5900" width="11.140625" style="93" bestFit="1" customWidth="1"/>
    <col min="5901" max="5901" width="11.5703125" style="93" customWidth="1"/>
    <col min="5902" max="5902" width="10.140625" style="93" customWidth="1"/>
    <col min="5903" max="5903" width="7.85546875" style="93" customWidth="1"/>
    <col min="5904" max="5904" width="8.5703125" style="93" customWidth="1"/>
    <col min="5905" max="5905" width="9.42578125" style="93" customWidth="1"/>
    <col min="5906" max="5906" width="9" style="93" customWidth="1"/>
    <col min="5907" max="5907" width="9.140625" style="93" customWidth="1"/>
    <col min="5908" max="5908" width="8.28515625" style="93" customWidth="1"/>
    <col min="5909" max="6143" width="10" style="93"/>
    <col min="6144" max="6144" width="6" style="93" customWidth="1"/>
    <col min="6145" max="6145" width="38.5703125" style="93" customWidth="1"/>
    <col min="6146" max="6146" width="12.28515625" style="93" bestFit="1" customWidth="1"/>
    <col min="6147" max="6147" width="8.28515625" style="93" customWidth="1"/>
    <col min="6148" max="6148" width="11.28515625" style="93" customWidth="1"/>
    <col min="6149" max="6149" width="12.28515625" style="93" customWidth="1"/>
    <col min="6150" max="6150" width="11.140625" style="93" bestFit="1" customWidth="1"/>
    <col min="6151" max="6151" width="10.140625" style="93" customWidth="1"/>
    <col min="6152" max="6152" width="11.85546875" style="93" customWidth="1"/>
    <col min="6153" max="6153" width="10" style="93" customWidth="1"/>
    <col min="6154" max="6154" width="13.85546875" style="93" customWidth="1"/>
    <col min="6155" max="6155" width="10.140625" style="93" customWidth="1"/>
    <col min="6156" max="6156" width="11.140625" style="93" bestFit="1" customWidth="1"/>
    <col min="6157" max="6157" width="11.5703125" style="93" customWidth="1"/>
    <col min="6158" max="6158" width="10.140625" style="93" customWidth="1"/>
    <col min="6159" max="6159" width="7.85546875" style="93" customWidth="1"/>
    <col min="6160" max="6160" width="8.5703125" style="93" customWidth="1"/>
    <col min="6161" max="6161" width="9.42578125" style="93" customWidth="1"/>
    <col min="6162" max="6162" width="9" style="93" customWidth="1"/>
    <col min="6163" max="6163" width="9.140625" style="93" customWidth="1"/>
    <col min="6164" max="6164" width="8.28515625" style="93" customWidth="1"/>
    <col min="6165" max="6399" width="10" style="93"/>
    <col min="6400" max="6400" width="6" style="93" customWidth="1"/>
    <col min="6401" max="6401" width="38.5703125" style="93" customWidth="1"/>
    <col min="6402" max="6402" width="12.28515625" style="93" bestFit="1" customWidth="1"/>
    <col min="6403" max="6403" width="8.28515625" style="93" customWidth="1"/>
    <col min="6404" max="6404" width="11.28515625" style="93" customWidth="1"/>
    <col min="6405" max="6405" width="12.28515625" style="93" customWidth="1"/>
    <col min="6406" max="6406" width="11.140625" style="93" bestFit="1" customWidth="1"/>
    <col min="6407" max="6407" width="10.140625" style="93" customWidth="1"/>
    <col min="6408" max="6408" width="11.85546875" style="93" customWidth="1"/>
    <col min="6409" max="6409" width="10" style="93" customWidth="1"/>
    <col min="6410" max="6410" width="13.85546875" style="93" customWidth="1"/>
    <col min="6411" max="6411" width="10.140625" style="93" customWidth="1"/>
    <col min="6412" max="6412" width="11.140625" style="93" bestFit="1" customWidth="1"/>
    <col min="6413" max="6413" width="11.5703125" style="93" customWidth="1"/>
    <col min="6414" max="6414" width="10.140625" style="93" customWidth="1"/>
    <col min="6415" max="6415" width="7.85546875" style="93" customWidth="1"/>
    <col min="6416" max="6416" width="8.5703125" style="93" customWidth="1"/>
    <col min="6417" max="6417" width="9.42578125" style="93" customWidth="1"/>
    <col min="6418" max="6418" width="9" style="93" customWidth="1"/>
    <col min="6419" max="6419" width="9.140625" style="93" customWidth="1"/>
    <col min="6420" max="6420" width="8.28515625" style="93" customWidth="1"/>
    <col min="6421" max="6655" width="10" style="93"/>
    <col min="6656" max="6656" width="6" style="93" customWidth="1"/>
    <col min="6657" max="6657" width="38.5703125" style="93" customWidth="1"/>
    <col min="6658" max="6658" width="12.28515625" style="93" bestFit="1" customWidth="1"/>
    <col min="6659" max="6659" width="8.28515625" style="93" customWidth="1"/>
    <col min="6660" max="6660" width="11.28515625" style="93" customWidth="1"/>
    <col min="6661" max="6661" width="12.28515625" style="93" customWidth="1"/>
    <col min="6662" max="6662" width="11.140625" style="93" bestFit="1" customWidth="1"/>
    <col min="6663" max="6663" width="10.140625" style="93" customWidth="1"/>
    <col min="6664" max="6664" width="11.85546875" style="93" customWidth="1"/>
    <col min="6665" max="6665" width="10" style="93" customWidth="1"/>
    <col min="6666" max="6666" width="13.85546875" style="93" customWidth="1"/>
    <col min="6667" max="6667" width="10.140625" style="93" customWidth="1"/>
    <col min="6668" max="6668" width="11.140625" style="93" bestFit="1" customWidth="1"/>
    <col min="6669" max="6669" width="11.5703125" style="93" customWidth="1"/>
    <col min="6670" max="6670" width="10.140625" style="93" customWidth="1"/>
    <col min="6671" max="6671" width="7.85546875" style="93" customWidth="1"/>
    <col min="6672" max="6672" width="8.5703125" style="93" customWidth="1"/>
    <col min="6673" max="6673" width="9.42578125" style="93" customWidth="1"/>
    <col min="6674" max="6674" width="9" style="93" customWidth="1"/>
    <col min="6675" max="6675" width="9.140625" style="93" customWidth="1"/>
    <col min="6676" max="6676" width="8.28515625" style="93" customWidth="1"/>
    <col min="6677" max="6911" width="10" style="93"/>
    <col min="6912" max="6912" width="6" style="93" customWidth="1"/>
    <col min="6913" max="6913" width="38.5703125" style="93" customWidth="1"/>
    <col min="6914" max="6914" width="12.28515625" style="93" bestFit="1" customWidth="1"/>
    <col min="6915" max="6915" width="8.28515625" style="93" customWidth="1"/>
    <col min="6916" max="6916" width="11.28515625" style="93" customWidth="1"/>
    <col min="6917" max="6917" width="12.28515625" style="93" customWidth="1"/>
    <col min="6918" max="6918" width="11.140625" style="93" bestFit="1" customWidth="1"/>
    <col min="6919" max="6919" width="10.140625" style="93" customWidth="1"/>
    <col min="6920" max="6920" width="11.85546875" style="93" customWidth="1"/>
    <col min="6921" max="6921" width="10" style="93" customWidth="1"/>
    <col min="6922" max="6922" width="13.85546875" style="93" customWidth="1"/>
    <col min="6923" max="6923" width="10.140625" style="93" customWidth="1"/>
    <col min="6924" max="6924" width="11.140625" style="93" bestFit="1" customWidth="1"/>
    <col min="6925" max="6925" width="11.5703125" style="93" customWidth="1"/>
    <col min="6926" max="6926" width="10.140625" style="93" customWidth="1"/>
    <col min="6927" max="6927" width="7.85546875" style="93" customWidth="1"/>
    <col min="6928" max="6928" width="8.5703125" style="93" customWidth="1"/>
    <col min="6929" max="6929" width="9.42578125" style="93" customWidth="1"/>
    <col min="6930" max="6930" width="9" style="93" customWidth="1"/>
    <col min="6931" max="6931" width="9.140625" style="93" customWidth="1"/>
    <col min="6932" max="6932" width="8.28515625" style="93" customWidth="1"/>
    <col min="6933" max="7167" width="10" style="93"/>
    <col min="7168" max="7168" width="6" style="93" customWidth="1"/>
    <col min="7169" max="7169" width="38.5703125" style="93" customWidth="1"/>
    <col min="7170" max="7170" width="12.28515625" style="93" bestFit="1" customWidth="1"/>
    <col min="7171" max="7171" width="8.28515625" style="93" customWidth="1"/>
    <col min="7172" max="7172" width="11.28515625" style="93" customWidth="1"/>
    <col min="7173" max="7173" width="12.28515625" style="93" customWidth="1"/>
    <col min="7174" max="7174" width="11.140625" style="93" bestFit="1" customWidth="1"/>
    <col min="7175" max="7175" width="10.140625" style="93" customWidth="1"/>
    <col min="7176" max="7176" width="11.85546875" style="93" customWidth="1"/>
    <col min="7177" max="7177" width="10" style="93" customWidth="1"/>
    <col min="7178" max="7178" width="13.85546875" style="93" customWidth="1"/>
    <col min="7179" max="7179" width="10.140625" style="93" customWidth="1"/>
    <col min="7180" max="7180" width="11.140625" style="93" bestFit="1" customWidth="1"/>
    <col min="7181" max="7181" width="11.5703125" style="93" customWidth="1"/>
    <col min="7182" max="7182" width="10.140625" style="93" customWidth="1"/>
    <col min="7183" max="7183" width="7.85546875" style="93" customWidth="1"/>
    <col min="7184" max="7184" width="8.5703125" style="93" customWidth="1"/>
    <col min="7185" max="7185" width="9.42578125" style="93" customWidth="1"/>
    <col min="7186" max="7186" width="9" style="93" customWidth="1"/>
    <col min="7187" max="7187" width="9.140625" style="93" customWidth="1"/>
    <col min="7188" max="7188" width="8.28515625" style="93" customWidth="1"/>
    <col min="7189" max="7423" width="10" style="93"/>
    <col min="7424" max="7424" width="6" style="93" customWidth="1"/>
    <col min="7425" max="7425" width="38.5703125" style="93" customWidth="1"/>
    <col min="7426" max="7426" width="12.28515625" style="93" bestFit="1" customWidth="1"/>
    <col min="7427" max="7427" width="8.28515625" style="93" customWidth="1"/>
    <col min="7428" max="7428" width="11.28515625" style="93" customWidth="1"/>
    <col min="7429" max="7429" width="12.28515625" style="93" customWidth="1"/>
    <col min="7430" max="7430" width="11.140625" style="93" bestFit="1" customWidth="1"/>
    <col min="7431" max="7431" width="10.140625" style="93" customWidth="1"/>
    <col min="7432" max="7432" width="11.85546875" style="93" customWidth="1"/>
    <col min="7433" max="7433" width="10" style="93" customWidth="1"/>
    <col min="7434" max="7434" width="13.85546875" style="93" customWidth="1"/>
    <col min="7435" max="7435" width="10.140625" style="93" customWidth="1"/>
    <col min="7436" max="7436" width="11.140625" style="93" bestFit="1" customWidth="1"/>
    <col min="7437" max="7437" width="11.5703125" style="93" customWidth="1"/>
    <col min="7438" max="7438" width="10.140625" style="93" customWidth="1"/>
    <col min="7439" max="7439" width="7.85546875" style="93" customWidth="1"/>
    <col min="7440" max="7440" width="8.5703125" style="93" customWidth="1"/>
    <col min="7441" max="7441" width="9.42578125" style="93" customWidth="1"/>
    <col min="7442" max="7442" width="9" style="93" customWidth="1"/>
    <col min="7443" max="7443" width="9.140625" style="93" customWidth="1"/>
    <col min="7444" max="7444" width="8.28515625" style="93" customWidth="1"/>
    <col min="7445" max="7679" width="10" style="93"/>
    <col min="7680" max="7680" width="6" style="93" customWidth="1"/>
    <col min="7681" max="7681" width="38.5703125" style="93" customWidth="1"/>
    <col min="7682" max="7682" width="12.28515625" style="93" bestFit="1" customWidth="1"/>
    <col min="7683" max="7683" width="8.28515625" style="93" customWidth="1"/>
    <col min="7684" max="7684" width="11.28515625" style="93" customWidth="1"/>
    <col min="7685" max="7685" width="12.28515625" style="93" customWidth="1"/>
    <col min="7686" max="7686" width="11.140625" style="93" bestFit="1" customWidth="1"/>
    <col min="7687" max="7687" width="10.140625" style="93" customWidth="1"/>
    <col min="7688" max="7688" width="11.85546875" style="93" customWidth="1"/>
    <col min="7689" max="7689" width="10" style="93" customWidth="1"/>
    <col min="7690" max="7690" width="13.85546875" style="93" customWidth="1"/>
    <col min="7691" max="7691" width="10.140625" style="93" customWidth="1"/>
    <col min="7692" max="7692" width="11.140625" style="93" bestFit="1" customWidth="1"/>
    <col min="7693" max="7693" width="11.5703125" style="93" customWidth="1"/>
    <col min="7694" max="7694" width="10.140625" style="93" customWidth="1"/>
    <col min="7695" max="7695" width="7.85546875" style="93" customWidth="1"/>
    <col min="7696" max="7696" width="8.5703125" style="93" customWidth="1"/>
    <col min="7697" max="7697" width="9.42578125" style="93" customWidth="1"/>
    <col min="7698" max="7698" width="9" style="93" customWidth="1"/>
    <col min="7699" max="7699" width="9.140625" style="93" customWidth="1"/>
    <col min="7700" max="7700" width="8.28515625" style="93" customWidth="1"/>
    <col min="7701" max="7935" width="10" style="93"/>
    <col min="7936" max="7936" width="6" style="93" customWidth="1"/>
    <col min="7937" max="7937" width="38.5703125" style="93" customWidth="1"/>
    <col min="7938" max="7938" width="12.28515625" style="93" bestFit="1" customWidth="1"/>
    <col min="7939" max="7939" width="8.28515625" style="93" customWidth="1"/>
    <col min="7940" max="7940" width="11.28515625" style="93" customWidth="1"/>
    <col min="7941" max="7941" width="12.28515625" style="93" customWidth="1"/>
    <col min="7942" max="7942" width="11.140625" style="93" bestFit="1" customWidth="1"/>
    <col min="7943" max="7943" width="10.140625" style="93" customWidth="1"/>
    <col min="7944" max="7944" width="11.85546875" style="93" customWidth="1"/>
    <col min="7945" max="7945" width="10" style="93" customWidth="1"/>
    <col min="7946" max="7946" width="13.85546875" style="93" customWidth="1"/>
    <col min="7947" max="7947" width="10.140625" style="93" customWidth="1"/>
    <col min="7948" max="7948" width="11.140625" style="93" bestFit="1" customWidth="1"/>
    <col min="7949" max="7949" width="11.5703125" style="93" customWidth="1"/>
    <col min="7950" max="7950" width="10.140625" style="93" customWidth="1"/>
    <col min="7951" max="7951" width="7.85546875" style="93" customWidth="1"/>
    <col min="7952" max="7952" width="8.5703125" style="93" customWidth="1"/>
    <col min="7953" max="7953" width="9.42578125" style="93" customWidth="1"/>
    <col min="7954" max="7954" width="9" style="93" customWidth="1"/>
    <col min="7955" max="7955" width="9.140625" style="93" customWidth="1"/>
    <col min="7956" max="7956" width="8.28515625" style="93" customWidth="1"/>
    <col min="7957" max="8191" width="10" style="93"/>
    <col min="8192" max="8192" width="6" style="93" customWidth="1"/>
    <col min="8193" max="8193" width="38.5703125" style="93" customWidth="1"/>
    <col min="8194" max="8194" width="12.28515625" style="93" bestFit="1" customWidth="1"/>
    <col min="8195" max="8195" width="8.28515625" style="93" customWidth="1"/>
    <col min="8196" max="8196" width="11.28515625" style="93" customWidth="1"/>
    <col min="8197" max="8197" width="12.28515625" style="93" customWidth="1"/>
    <col min="8198" max="8198" width="11.140625" style="93" bestFit="1" customWidth="1"/>
    <col min="8199" max="8199" width="10.140625" style="93" customWidth="1"/>
    <col min="8200" max="8200" width="11.85546875" style="93" customWidth="1"/>
    <col min="8201" max="8201" width="10" style="93" customWidth="1"/>
    <col min="8202" max="8202" width="13.85546875" style="93" customWidth="1"/>
    <col min="8203" max="8203" width="10.140625" style="93" customWidth="1"/>
    <col min="8204" max="8204" width="11.140625" style="93" bestFit="1" customWidth="1"/>
    <col min="8205" max="8205" width="11.5703125" style="93" customWidth="1"/>
    <col min="8206" max="8206" width="10.140625" style="93" customWidth="1"/>
    <col min="8207" max="8207" width="7.85546875" style="93" customWidth="1"/>
    <col min="8208" max="8208" width="8.5703125" style="93" customWidth="1"/>
    <col min="8209" max="8209" width="9.42578125" style="93" customWidth="1"/>
    <col min="8210" max="8210" width="9" style="93" customWidth="1"/>
    <col min="8211" max="8211" width="9.140625" style="93" customWidth="1"/>
    <col min="8212" max="8212" width="8.28515625" style="93" customWidth="1"/>
    <col min="8213" max="8447" width="10" style="93"/>
    <col min="8448" max="8448" width="6" style="93" customWidth="1"/>
    <col min="8449" max="8449" width="38.5703125" style="93" customWidth="1"/>
    <col min="8450" max="8450" width="12.28515625" style="93" bestFit="1" customWidth="1"/>
    <col min="8451" max="8451" width="8.28515625" style="93" customWidth="1"/>
    <col min="8452" max="8452" width="11.28515625" style="93" customWidth="1"/>
    <col min="8453" max="8453" width="12.28515625" style="93" customWidth="1"/>
    <col min="8454" max="8454" width="11.140625" style="93" bestFit="1" customWidth="1"/>
    <col min="8455" max="8455" width="10.140625" style="93" customWidth="1"/>
    <col min="8456" max="8456" width="11.85546875" style="93" customWidth="1"/>
    <col min="8457" max="8457" width="10" style="93" customWidth="1"/>
    <col min="8458" max="8458" width="13.85546875" style="93" customWidth="1"/>
    <col min="8459" max="8459" width="10.140625" style="93" customWidth="1"/>
    <col min="8460" max="8460" width="11.140625" style="93" bestFit="1" customWidth="1"/>
    <col min="8461" max="8461" width="11.5703125" style="93" customWidth="1"/>
    <col min="8462" max="8462" width="10.140625" style="93" customWidth="1"/>
    <col min="8463" max="8463" width="7.85546875" style="93" customWidth="1"/>
    <col min="8464" max="8464" width="8.5703125" style="93" customWidth="1"/>
    <col min="8465" max="8465" width="9.42578125" style="93" customWidth="1"/>
    <col min="8466" max="8466" width="9" style="93" customWidth="1"/>
    <col min="8467" max="8467" width="9.140625" style="93" customWidth="1"/>
    <col min="8468" max="8468" width="8.28515625" style="93" customWidth="1"/>
    <col min="8469" max="8703" width="10" style="93"/>
    <col min="8704" max="8704" width="6" style="93" customWidth="1"/>
    <col min="8705" max="8705" width="38.5703125" style="93" customWidth="1"/>
    <col min="8706" max="8706" width="12.28515625" style="93" bestFit="1" customWidth="1"/>
    <col min="8707" max="8707" width="8.28515625" style="93" customWidth="1"/>
    <col min="8708" max="8708" width="11.28515625" style="93" customWidth="1"/>
    <col min="8709" max="8709" width="12.28515625" style="93" customWidth="1"/>
    <col min="8710" max="8710" width="11.140625" style="93" bestFit="1" customWidth="1"/>
    <col min="8711" max="8711" width="10.140625" style="93" customWidth="1"/>
    <col min="8712" max="8712" width="11.85546875" style="93" customWidth="1"/>
    <col min="8713" max="8713" width="10" style="93" customWidth="1"/>
    <col min="8714" max="8714" width="13.85546875" style="93" customWidth="1"/>
    <col min="8715" max="8715" width="10.140625" style="93" customWidth="1"/>
    <col min="8716" max="8716" width="11.140625" style="93" bestFit="1" customWidth="1"/>
    <col min="8717" max="8717" width="11.5703125" style="93" customWidth="1"/>
    <col min="8718" max="8718" width="10.140625" style="93" customWidth="1"/>
    <col min="8719" max="8719" width="7.85546875" style="93" customWidth="1"/>
    <col min="8720" max="8720" width="8.5703125" style="93" customWidth="1"/>
    <col min="8721" max="8721" width="9.42578125" style="93" customWidth="1"/>
    <col min="8722" max="8722" width="9" style="93" customWidth="1"/>
    <col min="8723" max="8723" width="9.140625" style="93" customWidth="1"/>
    <col min="8724" max="8724" width="8.28515625" style="93" customWidth="1"/>
    <col min="8725" max="8959" width="10" style="93"/>
    <col min="8960" max="8960" width="6" style="93" customWidth="1"/>
    <col min="8961" max="8961" width="38.5703125" style="93" customWidth="1"/>
    <col min="8962" max="8962" width="12.28515625" style="93" bestFit="1" customWidth="1"/>
    <col min="8963" max="8963" width="8.28515625" style="93" customWidth="1"/>
    <col min="8964" max="8964" width="11.28515625" style="93" customWidth="1"/>
    <col min="8965" max="8965" width="12.28515625" style="93" customWidth="1"/>
    <col min="8966" max="8966" width="11.140625" style="93" bestFit="1" customWidth="1"/>
    <col min="8967" max="8967" width="10.140625" style="93" customWidth="1"/>
    <col min="8968" max="8968" width="11.85546875" style="93" customWidth="1"/>
    <col min="8969" max="8969" width="10" style="93" customWidth="1"/>
    <col min="8970" max="8970" width="13.85546875" style="93" customWidth="1"/>
    <col min="8971" max="8971" width="10.140625" style="93" customWidth="1"/>
    <col min="8972" max="8972" width="11.140625" style="93" bestFit="1" customWidth="1"/>
    <col min="8973" max="8973" width="11.5703125" style="93" customWidth="1"/>
    <col min="8974" max="8974" width="10.140625" style="93" customWidth="1"/>
    <col min="8975" max="8975" width="7.85546875" style="93" customWidth="1"/>
    <col min="8976" max="8976" width="8.5703125" style="93" customWidth="1"/>
    <col min="8977" max="8977" width="9.42578125" style="93" customWidth="1"/>
    <col min="8978" max="8978" width="9" style="93" customWidth="1"/>
    <col min="8979" max="8979" width="9.140625" style="93" customWidth="1"/>
    <col min="8980" max="8980" width="8.28515625" style="93" customWidth="1"/>
    <col min="8981" max="9215" width="10" style="93"/>
    <col min="9216" max="9216" width="6" style="93" customWidth="1"/>
    <col min="9217" max="9217" width="38.5703125" style="93" customWidth="1"/>
    <col min="9218" max="9218" width="12.28515625" style="93" bestFit="1" customWidth="1"/>
    <col min="9219" max="9219" width="8.28515625" style="93" customWidth="1"/>
    <col min="9220" max="9220" width="11.28515625" style="93" customWidth="1"/>
    <col min="9221" max="9221" width="12.28515625" style="93" customWidth="1"/>
    <col min="9222" max="9222" width="11.140625" style="93" bestFit="1" customWidth="1"/>
    <col min="9223" max="9223" width="10.140625" style="93" customWidth="1"/>
    <col min="9224" max="9224" width="11.85546875" style="93" customWidth="1"/>
    <col min="9225" max="9225" width="10" style="93" customWidth="1"/>
    <col min="9226" max="9226" width="13.85546875" style="93" customWidth="1"/>
    <col min="9227" max="9227" width="10.140625" style="93" customWidth="1"/>
    <col min="9228" max="9228" width="11.140625" style="93" bestFit="1" customWidth="1"/>
    <col min="9229" max="9229" width="11.5703125" style="93" customWidth="1"/>
    <col min="9230" max="9230" width="10.140625" style="93" customWidth="1"/>
    <col min="9231" max="9231" width="7.85546875" style="93" customWidth="1"/>
    <col min="9232" max="9232" width="8.5703125" style="93" customWidth="1"/>
    <col min="9233" max="9233" width="9.42578125" style="93" customWidth="1"/>
    <col min="9234" max="9234" width="9" style="93" customWidth="1"/>
    <col min="9235" max="9235" width="9.140625" style="93" customWidth="1"/>
    <col min="9236" max="9236" width="8.28515625" style="93" customWidth="1"/>
    <col min="9237" max="9471" width="10" style="93"/>
    <col min="9472" max="9472" width="6" style="93" customWidth="1"/>
    <col min="9473" max="9473" width="38.5703125" style="93" customWidth="1"/>
    <col min="9474" max="9474" width="12.28515625" style="93" bestFit="1" customWidth="1"/>
    <col min="9475" max="9475" width="8.28515625" style="93" customWidth="1"/>
    <col min="9476" max="9476" width="11.28515625" style="93" customWidth="1"/>
    <col min="9477" max="9477" width="12.28515625" style="93" customWidth="1"/>
    <col min="9478" max="9478" width="11.140625" style="93" bestFit="1" customWidth="1"/>
    <col min="9479" max="9479" width="10.140625" style="93" customWidth="1"/>
    <col min="9480" max="9480" width="11.85546875" style="93" customWidth="1"/>
    <col min="9481" max="9481" width="10" style="93" customWidth="1"/>
    <col min="9482" max="9482" width="13.85546875" style="93" customWidth="1"/>
    <col min="9483" max="9483" width="10.140625" style="93" customWidth="1"/>
    <col min="9484" max="9484" width="11.140625" style="93" bestFit="1" customWidth="1"/>
    <col min="9485" max="9485" width="11.5703125" style="93" customWidth="1"/>
    <col min="9486" max="9486" width="10.140625" style="93" customWidth="1"/>
    <col min="9487" max="9487" width="7.85546875" style="93" customWidth="1"/>
    <col min="9488" max="9488" width="8.5703125" style="93" customWidth="1"/>
    <col min="9489" max="9489" width="9.42578125" style="93" customWidth="1"/>
    <col min="9490" max="9490" width="9" style="93" customWidth="1"/>
    <col min="9491" max="9491" width="9.140625" style="93" customWidth="1"/>
    <col min="9492" max="9492" width="8.28515625" style="93" customWidth="1"/>
    <col min="9493" max="9727" width="10" style="93"/>
    <col min="9728" max="9728" width="6" style="93" customWidth="1"/>
    <col min="9729" max="9729" width="38.5703125" style="93" customWidth="1"/>
    <col min="9730" max="9730" width="12.28515625" style="93" bestFit="1" customWidth="1"/>
    <col min="9731" max="9731" width="8.28515625" style="93" customWidth="1"/>
    <col min="9732" max="9732" width="11.28515625" style="93" customWidth="1"/>
    <col min="9733" max="9733" width="12.28515625" style="93" customWidth="1"/>
    <col min="9734" max="9734" width="11.140625" style="93" bestFit="1" customWidth="1"/>
    <col min="9735" max="9735" width="10.140625" style="93" customWidth="1"/>
    <col min="9736" max="9736" width="11.85546875" style="93" customWidth="1"/>
    <col min="9737" max="9737" width="10" style="93" customWidth="1"/>
    <col min="9738" max="9738" width="13.85546875" style="93" customWidth="1"/>
    <col min="9739" max="9739" width="10.140625" style="93" customWidth="1"/>
    <col min="9740" max="9740" width="11.140625" style="93" bestFit="1" customWidth="1"/>
    <col min="9741" max="9741" width="11.5703125" style="93" customWidth="1"/>
    <col min="9742" max="9742" width="10.140625" style="93" customWidth="1"/>
    <col min="9743" max="9743" width="7.85546875" style="93" customWidth="1"/>
    <col min="9744" max="9744" width="8.5703125" style="93" customWidth="1"/>
    <col min="9745" max="9745" width="9.42578125" style="93" customWidth="1"/>
    <col min="9746" max="9746" width="9" style="93" customWidth="1"/>
    <col min="9747" max="9747" width="9.140625" style="93" customWidth="1"/>
    <col min="9748" max="9748" width="8.28515625" style="93" customWidth="1"/>
    <col min="9749" max="9983" width="10" style="93"/>
    <col min="9984" max="9984" width="6" style="93" customWidth="1"/>
    <col min="9985" max="9985" width="38.5703125" style="93" customWidth="1"/>
    <col min="9986" max="9986" width="12.28515625" style="93" bestFit="1" customWidth="1"/>
    <col min="9987" max="9987" width="8.28515625" style="93" customWidth="1"/>
    <col min="9988" max="9988" width="11.28515625" style="93" customWidth="1"/>
    <col min="9989" max="9989" width="12.28515625" style="93" customWidth="1"/>
    <col min="9990" max="9990" width="11.140625" style="93" bestFit="1" customWidth="1"/>
    <col min="9991" max="9991" width="10.140625" style="93" customWidth="1"/>
    <col min="9992" max="9992" width="11.85546875" style="93" customWidth="1"/>
    <col min="9993" max="9993" width="10" style="93" customWidth="1"/>
    <col min="9994" max="9994" width="13.85546875" style="93" customWidth="1"/>
    <col min="9995" max="9995" width="10.140625" style="93" customWidth="1"/>
    <col min="9996" max="9996" width="11.140625" style="93" bestFit="1" customWidth="1"/>
    <col min="9997" max="9997" width="11.5703125" style="93" customWidth="1"/>
    <col min="9998" max="9998" width="10.140625" style="93" customWidth="1"/>
    <col min="9999" max="9999" width="7.85546875" style="93" customWidth="1"/>
    <col min="10000" max="10000" width="8.5703125" style="93" customWidth="1"/>
    <col min="10001" max="10001" width="9.42578125" style="93" customWidth="1"/>
    <col min="10002" max="10002" width="9" style="93" customWidth="1"/>
    <col min="10003" max="10003" width="9.140625" style="93" customWidth="1"/>
    <col min="10004" max="10004" width="8.28515625" style="93" customWidth="1"/>
    <col min="10005" max="10239" width="10" style="93"/>
    <col min="10240" max="10240" width="6" style="93" customWidth="1"/>
    <col min="10241" max="10241" width="38.5703125" style="93" customWidth="1"/>
    <col min="10242" max="10242" width="12.28515625" style="93" bestFit="1" customWidth="1"/>
    <col min="10243" max="10243" width="8.28515625" style="93" customWidth="1"/>
    <col min="10244" max="10244" width="11.28515625" style="93" customWidth="1"/>
    <col min="10245" max="10245" width="12.28515625" style="93" customWidth="1"/>
    <col min="10246" max="10246" width="11.140625" style="93" bestFit="1" customWidth="1"/>
    <col min="10247" max="10247" width="10.140625" style="93" customWidth="1"/>
    <col min="10248" max="10248" width="11.85546875" style="93" customWidth="1"/>
    <col min="10249" max="10249" width="10" style="93" customWidth="1"/>
    <col min="10250" max="10250" width="13.85546875" style="93" customWidth="1"/>
    <col min="10251" max="10251" width="10.140625" style="93" customWidth="1"/>
    <col min="10252" max="10252" width="11.140625" style="93" bestFit="1" customWidth="1"/>
    <col min="10253" max="10253" width="11.5703125" style="93" customWidth="1"/>
    <col min="10254" max="10254" width="10.140625" style="93" customWidth="1"/>
    <col min="10255" max="10255" width="7.85546875" style="93" customWidth="1"/>
    <col min="10256" max="10256" width="8.5703125" style="93" customWidth="1"/>
    <col min="10257" max="10257" width="9.42578125" style="93" customWidth="1"/>
    <col min="10258" max="10258" width="9" style="93" customWidth="1"/>
    <col min="10259" max="10259" width="9.140625" style="93" customWidth="1"/>
    <col min="10260" max="10260" width="8.28515625" style="93" customWidth="1"/>
    <col min="10261" max="10495" width="10" style="93"/>
    <col min="10496" max="10496" width="6" style="93" customWidth="1"/>
    <col min="10497" max="10497" width="38.5703125" style="93" customWidth="1"/>
    <col min="10498" max="10498" width="12.28515625" style="93" bestFit="1" customWidth="1"/>
    <col min="10499" max="10499" width="8.28515625" style="93" customWidth="1"/>
    <col min="10500" max="10500" width="11.28515625" style="93" customWidth="1"/>
    <col min="10501" max="10501" width="12.28515625" style="93" customWidth="1"/>
    <col min="10502" max="10502" width="11.140625" style="93" bestFit="1" customWidth="1"/>
    <col min="10503" max="10503" width="10.140625" style="93" customWidth="1"/>
    <col min="10504" max="10504" width="11.85546875" style="93" customWidth="1"/>
    <col min="10505" max="10505" width="10" style="93" customWidth="1"/>
    <col min="10506" max="10506" width="13.85546875" style="93" customWidth="1"/>
    <col min="10507" max="10507" width="10.140625" style="93" customWidth="1"/>
    <col min="10508" max="10508" width="11.140625" style="93" bestFit="1" customWidth="1"/>
    <col min="10509" max="10509" width="11.5703125" style="93" customWidth="1"/>
    <col min="10510" max="10510" width="10.140625" style="93" customWidth="1"/>
    <col min="10511" max="10511" width="7.85546875" style="93" customWidth="1"/>
    <col min="10512" max="10512" width="8.5703125" style="93" customWidth="1"/>
    <col min="10513" max="10513" width="9.42578125" style="93" customWidth="1"/>
    <col min="10514" max="10514" width="9" style="93" customWidth="1"/>
    <col min="10515" max="10515" width="9.140625" style="93" customWidth="1"/>
    <col min="10516" max="10516" width="8.28515625" style="93" customWidth="1"/>
    <col min="10517" max="10751" width="10" style="93"/>
    <col min="10752" max="10752" width="6" style="93" customWidth="1"/>
    <col min="10753" max="10753" width="38.5703125" style="93" customWidth="1"/>
    <col min="10754" max="10754" width="12.28515625" style="93" bestFit="1" customWidth="1"/>
    <col min="10755" max="10755" width="8.28515625" style="93" customWidth="1"/>
    <col min="10756" max="10756" width="11.28515625" style="93" customWidth="1"/>
    <col min="10757" max="10757" width="12.28515625" style="93" customWidth="1"/>
    <col min="10758" max="10758" width="11.140625" style="93" bestFit="1" customWidth="1"/>
    <col min="10759" max="10759" width="10.140625" style="93" customWidth="1"/>
    <col min="10760" max="10760" width="11.85546875" style="93" customWidth="1"/>
    <col min="10761" max="10761" width="10" style="93" customWidth="1"/>
    <col min="10762" max="10762" width="13.85546875" style="93" customWidth="1"/>
    <col min="10763" max="10763" width="10.140625" style="93" customWidth="1"/>
    <col min="10764" max="10764" width="11.140625" style="93" bestFit="1" customWidth="1"/>
    <col min="10765" max="10765" width="11.5703125" style="93" customWidth="1"/>
    <col min="10766" max="10766" width="10.140625" style="93" customWidth="1"/>
    <col min="10767" max="10767" width="7.85546875" style="93" customWidth="1"/>
    <col min="10768" max="10768" width="8.5703125" style="93" customWidth="1"/>
    <col min="10769" max="10769" width="9.42578125" style="93" customWidth="1"/>
    <col min="10770" max="10770" width="9" style="93" customWidth="1"/>
    <col min="10771" max="10771" width="9.140625" style="93" customWidth="1"/>
    <col min="10772" max="10772" width="8.28515625" style="93" customWidth="1"/>
    <col min="10773" max="11007" width="10" style="93"/>
    <col min="11008" max="11008" width="6" style="93" customWidth="1"/>
    <col min="11009" max="11009" width="38.5703125" style="93" customWidth="1"/>
    <col min="11010" max="11010" width="12.28515625" style="93" bestFit="1" customWidth="1"/>
    <col min="11011" max="11011" width="8.28515625" style="93" customWidth="1"/>
    <col min="11012" max="11012" width="11.28515625" style="93" customWidth="1"/>
    <col min="11013" max="11013" width="12.28515625" style="93" customWidth="1"/>
    <col min="11014" max="11014" width="11.140625" style="93" bestFit="1" customWidth="1"/>
    <col min="11015" max="11015" width="10.140625" style="93" customWidth="1"/>
    <col min="11016" max="11016" width="11.85546875" style="93" customWidth="1"/>
    <col min="11017" max="11017" width="10" style="93" customWidth="1"/>
    <col min="11018" max="11018" width="13.85546875" style="93" customWidth="1"/>
    <col min="11019" max="11019" width="10.140625" style="93" customWidth="1"/>
    <col min="11020" max="11020" width="11.140625" style="93" bestFit="1" customWidth="1"/>
    <col min="11021" max="11021" width="11.5703125" style="93" customWidth="1"/>
    <col min="11022" max="11022" width="10.140625" style="93" customWidth="1"/>
    <col min="11023" max="11023" width="7.85546875" style="93" customWidth="1"/>
    <col min="11024" max="11024" width="8.5703125" style="93" customWidth="1"/>
    <col min="11025" max="11025" width="9.42578125" style="93" customWidth="1"/>
    <col min="11026" max="11026" width="9" style="93" customWidth="1"/>
    <col min="11027" max="11027" width="9.140625" style="93" customWidth="1"/>
    <col min="11028" max="11028" width="8.28515625" style="93" customWidth="1"/>
    <col min="11029" max="11263" width="10" style="93"/>
    <col min="11264" max="11264" width="6" style="93" customWidth="1"/>
    <col min="11265" max="11265" width="38.5703125" style="93" customWidth="1"/>
    <col min="11266" max="11266" width="12.28515625" style="93" bestFit="1" customWidth="1"/>
    <col min="11267" max="11267" width="8.28515625" style="93" customWidth="1"/>
    <col min="11268" max="11268" width="11.28515625" style="93" customWidth="1"/>
    <col min="11269" max="11269" width="12.28515625" style="93" customWidth="1"/>
    <col min="11270" max="11270" width="11.140625" style="93" bestFit="1" customWidth="1"/>
    <col min="11271" max="11271" width="10.140625" style="93" customWidth="1"/>
    <col min="11272" max="11272" width="11.85546875" style="93" customWidth="1"/>
    <col min="11273" max="11273" width="10" style="93" customWidth="1"/>
    <col min="11274" max="11274" width="13.85546875" style="93" customWidth="1"/>
    <col min="11275" max="11275" width="10.140625" style="93" customWidth="1"/>
    <col min="11276" max="11276" width="11.140625" style="93" bestFit="1" customWidth="1"/>
    <col min="11277" max="11277" width="11.5703125" style="93" customWidth="1"/>
    <col min="11278" max="11278" width="10.140625" style="93" customWidth="1"/>
    <col min="11279" max="11279" width="7.85546875" style="93" customWidth="1"/>
    <col min="11280" max="11280" width="8.5703125" style="93" customWidth="1"/>
    <col min="11281" max="11281" width="9.42578125" style="93" customWidth="1"/>
    <col min="11282" max="11282" width="9" style="93" customWidth="1"/>
    <col min="11283" max="11283" width="9.140625" style="93" customWidth="1"/>
    <col min="11284" max="11284" width="8.28515625" style="93" customWidth="1"/>
    <col min="11285" max="11519" width="10" style="93"/>
    <col min="11520" max="11520" width="6" style="93" customWidth="1"/>
    <col min="11521" max="11521" width="38.5703125" style="93" customWidth="1"/>
    <col min="11522" max="11522" width="12.28515625" style="93" bestFit="1" customWidth="1"/>
    <col min="11523" max="11523" width="8.28515625" style="93" customWidth="1"/>
    <col min="11524" max="11524" width="11.28515625" style="93" customWidth="1"/>
    <col min="11525" max="11525" width="12.28515625" style="93" customWidth="1"/>
    <col min="11526" max="11526" width="11.140625" style="93" bestFit="1" customWidth="1"/>
    <col min="11527" max="11527" width="10.140625" style="93" customWidth="1"/>
    <col min="11528" max="11528" width="11.85546875" style="93" customWidth="1"/>
    <col min="11529" max="11529" width="10" style="93" customWidth="1"/>
    <col min="11530" max="11530" width="13.85546875" style="93" customWidth="1"/>
    <col min="11531" max="11531" width="10.140625" style="93" customWidth="1"/>
    <col min="11532" max="11532" width="11.140625" style="93" bestFit="1" customWidth="1"/>
    <col min="11533" max="11533" width="11.5703125" style="93" customWidth="1"/>
    <col min="11534" max="11534" width="10.140625" style="93" customWidth="1"/>
    <col min="11535" max="11535" width="7.85546875" style="93" customWidth="1"/>
    <col min="11536" max="11536" width="8.5703125" style="93" customWidth="1"/>
    <col min="11537" max="11537" width="9.42578125" style="93" customWidth="1"/>
    <col min="11538" max="11538" width="9" style="93" customWidth="1"/>
    <col min="11539" max="11539" width="9.140625" style="93" customWidth="1"/>
    <col min="11540" max="11540" width="8.28515625" style="93" customWidth="1"/>
    <col min="11541" max="11775" width="10" style="93"/>
    <col min="11776" max="11776" width="6" style="93" customWidth="1"/>
    <col min="11777" max="11777" width="38.5703125" style="93" customWidth="1"/>
    <col min="11778" max="11778" width="12.28515625" style="93" bestFit="1" customWidth="1"/>
    <col min="11779" max="11779" width="8.28515625" style="93" customWidth="1"/>
    <col min="11780" max="11780" width="11.28515625" style="93" customWidth="1"/>
    <col min="11781" max="11781" width="12.28515625" style="93" customWidth="1"/>
    <col min="11782" max="11782" width="11.140625" style="93" bestFit="1" customWidth="1"/>
    <col min="11783" max="11783" width="10.140625" style="93" customWidth="1"/>
    <col min="11784" max="11784" width="11.85546875" style="93" customWidth="1"/>
    <col min="11785" max="11785" width="10" style="93" customWidth="1"/>
    <col min="11786" max="11786" width="13.85546875" style="93" customWidth="1"/>
    <col min="11787" max="11787" width="10.140625" style="93" customWidth="1"/>
    <col min="11788" max="11788" width="11.140625" style="93" bestFit="1" customWidth="1"/>
    <col min="11789" max="11789" width="11.5703125" style="93" customWidth="1"/>
    <col min="11790" max="11790" width="10.140625" style="93" customWidth="1"/>
    <col min="11791" max="11791" width="7.85546875" style="93" customWidth="1"/>
    <col min="11792" max="11792" width="8.5703125" style="93" customWidth="1"/>
    <col min="11793" max="11793" width="9.42578125" style="93" customWidth="1"/>
    <col min="11794" max="11794" width="9" style="93" customWidth="1"/>
    <col min="11795" max="11795" width="9.140625" style="93" customWidth="1"/>
    <col min="11796" max="11796" width="8.28515625" style="93" customWidth="1"/>
    <col min="11797" max="12031" width="10" style="93"/>
    <col min="12032" max="12032" width="6" style="93" customWidth="1"/>
    <col min="12033" max="12033" width="38.5703125" style="93" customWidth="1"/>
    <col min="12034" max="12034" width="12.28515625" style="93" bestFit="1" customWidth="1"/>
    <col min="12035" max="12035" width="8.28515625" style="93" customWidth="1"/>
    <col min="12036" max="12036" width="11.28515625" style="93" customWidth="1"/>
    <col min="12037" max="12037" width="12.28515625" style="93" customWidth="1"/>
    <col min="12038" max="12038" width="11.140625" style="93" bestFit="1" customWidth="1"/>
    <col min="12039" max="12039" width="10.140625" style="93" customWidth="1"/>
    <col min="12040" max="12040" width="11.85546875" style="93" customWidth="1"/>
    <col min="12041" max="12041" width="10" style="93" customWidth="1"/>
    <col min="12042" max="12042" width="13.85546875" style="93" customWidth="1"/>
    <col min="12043" max="12043" width="10.140625" style="93" customWidth="1"/>
    <col min="12044" max="12044" width="11.140625" style="93" bestFit="1" customWidth="1"/>
    <col min="12045" max="12045" width="11.5703125" style="93" customWidth="1"/>
    <col min="12046" max="12046" width="10.140625" style="93" customWidth="1"/>
    <col min="12047" max="12047" width="7.85546875" style="93" customWidth="1"/>
    <col min="12048" max="12048" width="8.5703125" style="93" customWidth="1"/>
    <col min="12049" max="12049" width="9.42578125" style="93" customWidth="1"/>
    <col min="12050" max="12050" width="9" style="93" customWidth="1"/>
    <col min="12051" max="12051" width="9.140625" style="93" customWidth="1"/>
    <col min="12052" max="12052" width="8.28515625" style="93" customWidth="1"/>
    <col min="12053" max="12287" width="10" style="93"/>
    <col min="12288" max="12288" width="6" style="93" customWidth="1"/>
    <col min="12289" max="12289" width="38.5703125" style="93" customWidth="1"/>
    <col min="12290" max="12290" width="12.28515625" style="93" bestFit="1" customWidth="1"/>
    <col min="12291" max="12291" width="8.28515625" style="93" customWidth="1"/>
    <col min="12292" max="12292" width="11.28515625" style="93" customWidth="1"/>
    <col min="12293" max="12293" width="12.28515625" style="93" customWidth="1"/>
    <col min="12294" max="12294" width="11.140625" style="93" bestFit="1" customWidth="1"/>
    <col min="12295" max="12295" width="10.140625" style="93" customWidth="1"/>
    <col min="12296" max="12296" width="11.85546875" style="93" customWidth="1"/>
    <col min="12297" max="12297" width="10" style="93" customWidth="1"/>
    <col min="12298" max="12298" width="13.85546875" style="93" customWidth="1"/>
    <col min="12299" max="12299" width="10.140625" style="93" customWidth="1"/>
    <col min="12300" max="12300" width="11.140625" style="93" bestFit="1" customWidth="1"/>
    <col min="12301" max="12301" width="11.5703125" style="93" customWidth="1"/>
    <col min="12302" max="12302" width="10.140625" style="93" customWidth="1"/>
    <col min="12303" max="12303" width="7.85546875" style="93" customWidth="1"/>
    <col min="12304" max="12304" width="8.5703125" style="93" customWidth="1"/>
    <col min="12305" max="12305" width="9.42578125" style="93" customWidth="1"/>
    <col min="12306" max="12306" width="9" style="93" customWidth="1"/>
    <col min="12307" max="12307" width="9.140625" style="93" customWidth="1"/>
    <col min="12308" max="12308" width="8.28515625" style="93" customWidth="1"/>
    <col min="12309" max="12543" width="10" style="93"/>
    <col min="12544" max="12544" width="6" style="93" customWidth="1"/>
    <col min="12545" max="12545" width="38.5703125" style="93" customWidth="1"/>
    <col min="12546" max="12546" width="12.28515625" style="93" bestFit="1" customWidth="1"/>
    <col min="12547" max="12547" width="8.28515625" style="93" customWidth="1"/>
    <col min="12548" max="12548" width="11.28515625" style="93" customWidth="1"/>
    <col min="12549" max="12549" width="12.28515625" style="93" customWidth="1"/>
    <col min="12550" max="12550" width="11.140625" style="93" bestFit="1" customWidth="1"/>
    <col min="12551" max="12551" width="10.140625" style="93" customWidth="1"/>
    <col min="12552" max="12552" width="11.85546875" style="93" customWidth="1"/>
    <col min="12553" max="12553" width="10" style="93" customWidth="1"/>
    <col min="12554" max="12554" width="13.85546875" style="93" customWidth="1"/>
    <col min="12555" max="12555" width="10.140625" style="93" customWidth="1"/>
    <col min="12556" max="12556" width="11.140625" style="93" bestFit="1" customWidth="1"/>
    <col min="12557" max="12557" width="11.5703125" style="93" customWidth="1"/>
    <col min="12558" max="12558" width="10.140625" style="93" customWidth="1"/>
    <col min="12559" max="12559" width="7.85546875" style="93" customWidth="1"/>
    <col min="12560" max="12560" width="8.5703125" style="93" customWidth="1"/>
    <col min="12561" max="12561" width="9.42578125" style="93" customWidth="1"/>
    <col min="12562" max="12562" width="9" style="93" customWidth="1"/>
    <col min="12563" max="12563" width="9.140625" style="93" customWidth="1"/>
    <col min="12564" max="12564" width="8.28515625" style="93" customWidth="1"/>
    <col min="12565" max="12799" width="10" style="93"/>
    <col min="12800" max="12800" width="6" style="93" customWidth="1"/>
    <col min="12801" max="12801" width="38.5703125" style="93" customWidth="1"/>
    <col min="12802" max="12802" width="12.28515625" style="93" bestFit="1" customWidth="1"/>
    <col min="12803" max="12803" width="8.28515625" style="93" customWidth="1"/>
    <col min="12804" max="12804" width="11.28515625" style="93" customWidth="1"/>
    <col min="12805" max="12805" width="12.28515625" style="93" customWidth="1"/>
    <col min="12806" max="12806" width="11.140625" style="93" bestFit="1" customWidth="1"/>
    <col min="12807" max="12807" width="10.140625" style="93" customWidth="1"/>
    <col min="12808" max="12808" width="11.85546875" style="93" customWidth="1"/>
    <col min="12809" max="12809" width="10" style="93" customWidth="1"/>
    <col min="12810" max="12810" width="13.85546875" style="93" customWidth="1"/>
    <col min="12811" max="12811" width="10.140625" style="93" customWidth="1"/>
    <col min="12812" max="12812" width="11.140625" style="93" bestFit="1" customWidth="1"/>
    <col min="12813" max="12813" width="11.5703125" style="93" customWidth="1"/>
    <col min="12814" max="12814" width="10.140625" style="93" customWidth="1"/>
    <col min="12815" max="12815" width="7.85546875" style="93" customWidth="1"/>
    <col min="12816" max="12816" width="8.5703125" style="93" customWidth="1"/>
    <col min="12817" max="12817" width="9.42578125" style="93" customWidth="1"/>
    <col min="12818" max="12818" width="9" style="93" customWidth="1"/>
    <col min="12819" max="12819" width="9.140625" style="93" customWidth="1"/>
    <col min="12820" max="12820" width="8.28515625" style="93" customWidth="1"/>
    <col min="12821" max="13055" width="10" style="93"/>
    <col min="13056" max="13056" width="6" style="93" customWidth="1"/>
    <col min="13057" max="13057" width="38.5703125" style="93" customWidth="1"/>
    <col min="13058" max="13058" width="12.28515625" style="93" bestFit="1" customWidth="1"/>
    <col min="13059" max="13059" width="8.28515625" style="93" customWidth="1"/>
    <col min="13060" max="13060" width="11.28515625" style="93" customWidth="1"/>
    <col min="13061" max="13061" width="12.28515625" style="93" customWidth="1"/>
    <col min="13062" max="13062" width="11.140625" style="93" bestFit="1" customWidth="1"/>
    <col min="13063" max="13063" width="10.140625" style="93" customWidth="1"/>
    <col min="13064" max="13064" width="11.85546875" style="93" customWidth="1"/>
    <col min="13065" max="13065" width="10" style="93" customWidth="1"/>
    <col min="13066" max="13066" width="13.85546875" style="93" customWidth="1"/>
    <col min="13067" max="13067" width="10.140625" style="93" customWidth="1"/>
    <col min="13068" max="13068" width="11.140625" style="93" bestFit="1" customWidth="1"/>
    <col min="13069" max="13069" width="11.5703125" style="93" customWidth="1"/>
    <col min="13070" max="13070" width="10.140625" style="93" customWidth="1"/>
    <col min="13071" max="13071" width="7.85546875" style="93" customWidth="1"/>
    <col min="13072" max="13072" width="8.5703125" style="93" customWidth="1"/>
    <col min="13073" max="13073" width="9.42578125" style="93" customWidth="1"/>
    <col min="13074" max="13074" width="9" style="93" customWidth="1"/>
    <col min="13075" max="13075" width="9.140625" style="93" customWidth="1"/>
    <col min="13076" max="13076" width="8.28515625" style="93" customWidth="1"/>
    <col min="13077" max="13311" width="10" style="93"/>
    <col min="13312" max="13312" width="6" style="93" customWidth="1"/>
    <col min="13313" max="13313" width="38.5703125" style="93" customWidth="1"/>
    <col min="13314" max="13314" width="12.28515625" style="93" bestFit="1" customWidth="1"/>
    <col min="13315" max="13315" width="8.28515625" style="93" customWidth="1"/>
    <col min="13316" max="13316" width="11.28515625" style="93" customWidth="1"/>
    <col min="13317" max="13317" width="12.28515625" style="93" customWidth="1"/>
    <col min="13318" max="13318" width="11.140625" style="93" bestFit="1" customWidth="1"/>
    <col min="13319" max="13319" width="10.140625" style="93" customWidth="1"/>
    <col min="13320" max="13320" width="11.85546875" style="93" customWidth="1"/>
    <col min="13321" max="13321" width="10" style="93" customWidth="1"/>
    <col min="13322" max="13322" width="13.85546875" style="93" customWidth="1"/>
    <col min="13323" max="13323" width="10.140625" style="93" customWidth="1"/>
    <col min="13324" max="13324" width="11.140625" style="93" bestFit="1" customWidth="1"/>
    <col min="13325" max="13325" width="11.5703125" style="93" customWidth="1"/>
    <col min="13326" max="13326" width="10.140625" style="93" customWidth="1"/>
    <col min="13327" max="13327" width="7.85546875" style="93" customWidth="1"/>
    <col min="13328" max="13328" width="8.5703125" style="93" customWidth="1"/>
    <col min="13329" max="13329" width="9.42578125" style="93" customWidth="1"/>
    <col min="13330" max="13330" width="9" style="93" customWidth="1"/>
    <col min="13331" max="13331" width="9.140625" style="93" customWidth="1"/>
    <col min="13332" max="13332" width="8.28515625" style="93" customWidth="1"/>
    <col min="13333" max="13567" width="10" style="93"/>
    <col min="13568" max="13568" width="6" style="93" customWidth="1"/>
    <col min="13569" max="13569" width="38.5703125" style="93" customWidth="1"/>
    <col min="13570" max="13570" width="12.28515625" style="93" bestFit="1" customWidth="1"/>
    <col min="13571" max="13571" width="8.28515625" style="93" customWidth="1"/>
    <col min="13572" max="13572" width="11.28515625" style="93" customWidth="1"/>
    <col min="13573" max="13573" width="12.28515625" style="93" customWidth="1"/>
    <col min="13574" max="13574" width="11.140625" style="93" bestFit="1" customWidth="1"/>
    <col min="13575" max="13575" width="10.140625" style="93" customWidth="1"/>
    <col min="13576" max="13576" width="11.85546875" style="93" customWidth="1"/>
    <col min="13577" max="13577" width="10" style="93" customWidth="1"/>
    <col min="13578" max="13578" width="13.85546875" style="93" customWidth="1"/>
    <col min="13579" max="13579" width="10.140625" style="93" customWidth="1"/>
    <col min="13580" max="13580" width="11.140625" style="93" bestFit="1" customWidth="1"/>
    <col min="13581" max="13581" width="11.5703125" style="93" customWidth="1"/>
    <col min="13582" max="13582" width="10.140625" style="93" customWidth="1"/>
    <col min="13583" max="13583" width="7.85546875" style="93" customWidth="1"/>
    <col min="13584" max="13584" width="8.5703125" style="93" customWidth="1"/>
    <col min="13585" max="13585" width="9.42578125" style="93" customWidth="1"/>
    <col min="13586" max="13586" width="9" style="93" customWidth="1"/>
    <col min="13587" max="13587" width="9.140625" style="93" customWidth="1"/>
    <col min="13588" max="13588" width="8.28515625" style="93" customWidth="1"/>
    <col min="13589" max="13823" width="10" style="93"/>
    <col min="13824" max="13824" width="6" style="93" customWidth="1"/>
    <col min="13825" max="13825" width="38.5703125" style="93" customWidth="1"/>
    <col min="13826" max="13826" width="12.28515625" style="93" bestFit="1" customWidth="1"/>
    <col min="13827" max="13827" width="8.28515625" style="93" customWidth="1"/>
    <col min="13828" max="13828" width="11.28515625" style="93" customWidth="1"/>
    <col min="13829" max="13829" width="12.28515625" style="93" customWidth="1"/>
    <col min="13830" max="13830" width="11.140625" style="93" bestFit="1" customWidth="1"/>
    <col min="13831" max="13831" width="10.140625" style="93" customWidth="1"/>
    <col min="13832" max="13832" width="11.85546875" style="93" customWidth="1"/>
    <col min="13833" max="13833" width="10" style="93" customWidth="1"/>
    <col min="13834" max="13834" width="13.85546875" style="93" customWidth="1"/>
    <col min="13835" max="13835" width="10.140625" style="93" customWidth="1"/>
    <col min="13836" max="13836" width="11.140625" style="93" bestFit="1" customWidth="1"/>
    <col min="13837" max="13837" width="11.5703125" style="93" customWidth="1"/>
    <col min="13838" max="13838" width="10.140625" style="93" customWidth="1"/>
    <col min="13839" max="13839" width="7.85546875" style="93" customWidth="1"/>
    <col min="13840" max="13840" width="8.5703125" style="93" customWidth="1"/>
    <col min="13841" max="13841" width="9.42578125" style="93" customWidth="1"/>
    <col min="13842" max="13842" width="9" style="93" customWidth="1"/>
    <col min="13843" max="13843" width="9.140625" style="93" customWidth="1"/>
    <col min="13844" max="13844" width="8.28515625" style="93" customWidth="1"/>
    <col min="13845" max="14079" width="10" style="93"/>
    <col min="14080" max="14080" width="6" style="93" customWidth="1"/>
    <col min="14081" max="14081" width="38.5703125" style="93" customWidth="1"/>
    <col min="14082" max="14082" width="12.28515625" style="93" bestFit="1" customWidth="1"/>
    <col min="14083" max="14083" width="8.28515625" style="93" customWidth="1"/>
    <col min="14084" max="14084" width="11.28515625" style="93" customWidth="1"/>
    <col min="14085" max="14085" width="12.28515625" style="93" customWidth="1"/>
    <col min="14086" max="14086" width="11.140625" style="93" bestFit="1" customWidth="1"/>
    <col min="14087" max="14087" width="10.140625" style="93" customWidth="1"/>
    <col min="14088" max="14088" width="11.85546875" style="93" customWidth="1"/>
    <col min="14089" max="14089" width="10" style="93" customWidth="1"/>
    <col min="14090" max="14090" width="13.85546875" style="93" customWidth="1"/>
    <col min="14091" max="14091" width="10.140625" style="93" customWidth="1"/>
    <col min="14092" max="14092" width="11.140625" style="93" bestFit="1" customWidth="1"/>
    <col min="14093" max="14093" width="11.5703125" style="93" customWidth="1"/>
    <col min="14094" max="14094" width="10.140625" style="93" customWidth="1"/>
    <col min="14095" max="14095" width="7.85546875" style="93" customWidth="1"/>
    <col min="14096" max="14096" width="8.5703125" style="93" customWidth="1"/>
    <col min="14097" max="14097" width="9.42578125" style="93" customWidth="1"/>
    <col min="14098" max="14098" width="9" style="93" customWidth="1"/>
    <col min="14099" max="14099" width="9.140625" style="93" customWidth="1"/>
    <col min="14100" max="14100" width="8.28515625" style="93" customWidth="1"/>
    <col min="14101" max="14335" width="10" style="93"/>
    <col min="14336" max="14336" width="6" style="93" customWidth="1"/>
    <col min="14337" max="14337" width="38.5703125" style="93" customWidth="1"/>
    <col min="14338" max="14338" width="12.28515625" style="93" bestFit="1" customWidth="1"/>
    <col min="14339" max="14339" width="8.28515625" style="93" customWidth="1"/>
    <col min="14340" max="14340" width="11.28515625" style="93" customWidth="1"/>
    <col min="14341" max="14341" width="12.28515625" style="93" customWidth="1"/>
    <col min="14342" max="14342" width="11.140625" style="93" bestFit="1" customWidth="1"/>
    <col min="14343" max="14343" width="10.140625" style="93" customWidth="1"/>
    <col min="14344" max="14344" width="11.85546875" style="93" customWidth="1"/>
    <col min="14345" max="14345" width="10" style="93" customWidth="1"/>
    <col min="14346" max="14346" width="13.85546875" style="93" customWidth="1"/>
    <col min="14347" max="14347" width="10.140625" style="93" customWidth="1"/>
    <col min="14348" max="14348" width="11.140625" style="93" bestFit="1" customWidth="1"/>
    <col min="14349" max="14349" width="11.5703125" style="93" customWidth="1"/>
    <col min="14350" max="14350" width="10.140625" style="93" customWidth="1"/>
    <col min="14351" max="14351" width="7.85546875" style="93" customWidth="1"/>
    <col min="14352" max="14352" width="8.5703125" style="93" customWidth="1"/>
    <col min="14353" max="14353" width="9.42578125" style="93" customWidth="1"/>
    <col min="14354" max="14354" width="9" style="93" customWidth="1"/>
    <col min="14355" max="14355" width="9.140625" style="93" customWidth="1"/>
    <col min="14356" max="14356" width="8.28515625" style="93" customWidth="1"/>
    <col min="14357" max="14591" width="10" style="93"/>
    <col min="14592" max="14592" width="6" style="93" customWidth="1"/>
    <col min="14593" max="14593" width="38.5703125" style="93" customWidth="1"/>
    <col min="14594" max="14594" width="12.28515625" style="93" bestFit="1" customWidth="1"/>
    <col min="14595" max="14595" width="8.28515625" style="93" customWidth="1"/>
    <col min="14596" max="14596" width="11.28515625" style="93" customWidth="1"/>
    <col min="14597" max="14597" width="12.28515625" style="93" customWidth="1"/>
    <col min="14598" max="14598" width="11.140625" style="93" bestFit="1" customWidth="1"/>
    <col min="14599" max="14599" width="10.140625" style="93" customWidth="1"/>
    <col min="14600" max="14600" width="11.85546875" style="93" customWidth="1"/>
    <col min="14601" max="14601" width="10" style="93" customWidth="1"/>
    <col min="14602" max="14602" width="13.85546875" style="93" customWidth="1"/>
    <col min="14603" max="14603" width="10.140625" style="93" customWidth="1"/>
    <col min="14604" max="14604" width="11.140625" style="93" bestFit="1" customWidth="1"/>
    <col min="14605" max="14605" width="11.5703125" style="93" customWidth="1"/>
    <col min="14606" max="14606" width="10.140625" style="93" customWidth="1"/>
    <col min="14607" max="14607" width="7.85546875" style="93" customWidth="1"/>
    <col min="14608" max="14608" width="8.5703125" style="93" customWidth="1"/>
    <col min="14609" max="14609" width="9.42578125" style="93" customWidth="1"/>
    <col min="14610" max="14610" width="9" style="93" customWidth="1"/>
    <col min="14611" max="14611" width="9.140625" style="93" customWidth="1"/>
    <col min="14612" max="14612" width="8.28515625" style="93" customWidth="1"/>
    <col min="14613" max="14847" width="10" style="93"/>
    <col min="14848" max="14848" width="6" style="93" customWidth="1"/>
    <col min="14849" max="14849" width="38.5703125" style="93" customWidth="1"/>
    <col min="14850" max="14850" width="12.28515625" style="93" bestFit="1" customWidth="1"/>
    <col min="14851" max="14851" width="8.28515625" style="93" customWidth="1"/>
    <col min="14852" max="14852" width="11.28515625" style="93" customWidth="1"/>
    <col min="14853" max="14853" width="12.28515625" style="93" customWidth="1"/>
    <col min="14854" max="14854" width="11.140625" style="93" bestFit="1" customWidth="1"/>
    <col min="14855" max="14855" width="10.140625" style="93" customWidth="1"/>
    <col min="14856" max="14856" width="11.85546875" style="93" customWidth="1"/>
    <col min="14857" max="14857" width="10" style="93" customWidth="1"/>
    <col min="14858" max="14858" width="13.85546875" style="93" customWidth="1"/>
    <col min="14859" max="14859" width="10.140625" style="93" customWidth="1"/>
    <col min="14860" max="14860" width="11.140625" style="93" bestFit="1" customWidth="1"/>
    <col min="14861" max="14861" width="11.5703125" style="93" customWidth="1"/>
    <col min="14862" max="14862" width="10.140625" style="93" customWidth="1"/>
    <col min="14863" max="14863" width="7.85546875" style="93" customWidth="1"/>
    <col min="14864" max="14864" width="8.5703125" style="93" customWidth="1"/>
    <col min="14865" max="14865" width="9.42578125" style="93" customWidth="1"/>
    <col min="14866" max="14866" width="9" style="93" customWidth="1"/>
    <col min="14867" max="14867" width="9.140625" style="93" customWidth="1"/>
    <col min="14868" max="14868" width="8.28515625" style="93" customWidth="1"/>
    <col min="14869" max="15103" width="10" style="93"/>
    <col min="15104" max="15104" width="6" style="93" customWidth="1"/>
    <col min="15105" max="15105" width="38.5703125" style="93" customWidth="1"/>
    <col min="15106" max="15106" width="12.28515625" style="93" bestFit="1" customWidth="1"/>
    <col min="15107" max="15107" width="8.28515625" style="93" customWidth="1"/>
    <col min="15108" max="15108" width="11.28515625" style="93" customWidth="1"/>
    <col min="15109" max="15109" width="12.28515625" style="93" customWidth="1"/>
    <col min="15110" max="15110" width="11.140625" style="93" bestFit="1" customWidth="1"/>
    <col min="15111" max="15111" width="10.140625" style="93" customWidth="1"/>
    <col min="15112" max="15112" width="11.85546875" style="93" customWidth="1"/>
    <col min="15113" max="15113" width="10" style="93" customWidth="1"/>
    <col min="15114" max="15114" width="13.85546875" style="93" customWidth="1"/>
    <col min="15115" max="15115" width="10.140625" style="93" customWidth="1"/>
    <col min="15116" max="15116" width="11.140625" style="93" bestFit="1" customWidth="1"/>
    <col min="15117" max="15117" width="11.5703125" style="93" customWidth="1"/>
    <col min="15118" max="15118" width="10.140625" style="93" customWidth="1"/>
    <col min="15119" max="15119" width="7.85546875" style="93" customWidth="1"/>
    <col min="15120" max="15120" width="8.5703125" style="93" customWidth="1"/>
    <col min="15121" max="15121" width="9.42578125" style="93" customWidth="1"/>
    <col min="15122" max="15122" width="9" style="93" customWidth="1"/>
    <col min="15123" max="15123" width="9.140625" style="93" customWidth="1"/>
    <col min="15124" max="15124" width="8.28515625" style="93" customWidth="1"/>
    <col min="15125" max="15359" width="10" style="93"/>
    <col min="15360" max="15360" width="6" style="93" customWidth="1"/>
    <col min="15361" max="15361" width="38.5703125" style="93" customWidth="1"/>
    <col min="15362" max="15362" width="12.28515625" style="93" bestFit="1" customWidth="1"/>
    <col min="15363" max="15363" width="8.28515625" style="93" customWidth="1"/>
    <col min="15364" max="15364" width="11.28515625" style="93" customWidth="1"/>
    <col min="15365" max="15365" width="12.28515625" style="93" customWidth="1"/>
    <col min="15366" max="15366" width="11.140625" style="93" bestFit="1" customWidth="1"/>
    <col min="15367" max="15367" width="10.140625" style="93" customWidth="1"/>
    <col min="15368" max="15368" width="11.85546875" style="93" customWidth="1"/>
    <col min="15369" max="15369" width="10" style="93" customWidth="1"/>
    <col min="15370" max="15370" width="13.85546875" style="93" customWidth="1"/>
    <col min="15371" max="15371" width="10.140625" style="93" customWidth="1"/>
    <col min="15372" max="15372" width="11.140625" style="93" bestFit="1" customWidth="1"/>
    <col min="15373" max="15373" width="11.5703125" style="93" customWidth="1"/>
    <col min="15374" max="15374" width="10.140625" style="93" customWidth="1"/>
    <col min="15375" max="15375" width="7.85546875" style="93" customWidth="1"/>
    <col min="15376" max="15376" width="8.5703125" style="93" customWidth="1"/>
    <col min="15377" max="15377" width="9.42578125" style="93" customWidth="1"/>
    <col min="15378" max="15378" width="9" style="93" customWidth="1"/>
    <col min="15379" max="15379" width="9.140625" style="93" customWidth="1"/>
    <col min="15380" max="15380" width="8.28515625" style="93" customWidth="1"/>
    <col min="15381" max="15615" width="10" style="93"/>
    <col min="15616" max="15616" width="6" style="93" customWidth="1"/>
    <col min="15617" max="15617" width="38.5703125" style="93" customWidth="1"/>
    <col min="15618" max="15618" width="12.28515625" style="93" bestFit="1" customWidth="1"/>
    <col min="15619" max="15619" width="8.28515625" style="93" customWidth="1"/>
    <col min="15620" max="15620" width="11.28515625" style="93" customWidth="1"/>
    <col min="15621" max="15621" width="12.28515625" style="93" customWidth="1"/>
    <col min="15622" max="15622" width="11.140625" style="93" bestFit="1" customWidth="1"/>
    <col min="15623" max="15623" width="10.140625" style="93" customWidth="1"/>
    <col min="15624" max="15624" width="11.85546875" style="93" customWidth="1"/>
    <col min="15625" max="15625" width="10" style="93" customWidth="1"/>
    <col min="15626" max="15626" width="13.85546875" style="93" customWidth="1"/>
    <col min="15627" max="15627" width="10.140625" style="93" customWidth="1"/>
    <col min="15628" max="15628" width="11.140625" style="93" bestFit="1" customWidth="1"/>
    <col min="15629" max="15629" width="11.5703125" style="93" customWidth="1"/>
    <col min="15630" max="15630" width="10.140625" style="93" customWidth="1"/>
    <col min="15631" max="15631" width="7.85546875" style="93" customWidth="1"/>
    <col min="15632" max="15632" width="8.5703125" style="93" customWidth="1"/>
    <col min="15633" max="15633" width="9.42578125" style="93" customWidth="1"/>
    <col min="15634" max="15634" width="9" style="93" customWidth="1"/>
    <col min="15635" max="15635" width="9.140625" style="93" customWidth="1"/>
    <col min="15636" max="15636" width="8.28515625" style="93" customWidth="1"/>
    <col min="15637" max="15871" width="10" style="93"/>
    <col min="15872" max="15872" width="6" style="93" customWidth="1"/>
    <col min="15873" max="15873" width="38.5703125" style="93" customWidth="1"/>
    <col min="15874" max="15874" width="12.28515625" style="93" bestFit="1" customWidth="1"/>
    <col min="15875" max="15875" width="8.28515625" style="93" customWidth="1"/>
    <col min="15876" max="15876" width="11.28515625" style="93" customWidth="1"/>
    <col min="15877" max="15877" width="12.28515625" style="93" customWidth="1"/>
    <col min="15878" max="15878" width="11.140625" style="93" bestFit="1" customWidth="1"/>
    <col min="15879" max="15879" width="10.140625" style="93" customWidth="1"/>
    <col min="15880" max="15880" width="11.85546875" style="93" customWidth="1"/>
    <col min="15881" max="15881" width="10" style="93" customWidth="1"/>
    <col min="15882" max="15882" width="13.85546875" style="93" customWidth="1"/>
    <col min="15883" max="15883" width="10.140625" style="93" customWidth="1"/>
    <col min="15884" max="15884" width="11.140625" style="93" bestFit="1" customWidth="1"/>
    <col min="15885" max="15885" width="11.5703125" style="93" customWidth="1"/>
    <col min="15886" max="15886" width="10.140625" style="93" customWidth="1"/>
    <col min="15887" max="15887" width="7.85546875" style="93" customWidth="1"/>
    <col min="15888" max="15888" width="8.5703125" style="93" customWidth="1"/>
    <col min="15889" max="15889" width="9.42578125" style="93" customWidth="1"/>
    <col min="15890" max="15890" width="9" style="93" customWidth="1"/>
    <col min="15891" max="15891" width="9.140625" style="93" customWidth="1"/>
    <col min="15892" max="15892" width="8.28515625" style="93" customWidth="1"/>
    <col min="15893" max="16127" width="10" style="93"/>
    <col min="16128" max="16128" width="6" style="93" customWidth="1"/>
    <col min="16129" max="16129" width="38.5703125" style="93" customWidth="1"/>
    <col min="16130" max="16130" width="12.28515625" style="93" bestFit="1" customWidth="1"/>
    <col min="16131" max="16131" width="8.28515625" style="93" customWidth="1"/>
    <col min="16132" max="16132" width="11.28515625" style="93" customWidth="1"/>
    <col min="16133" max="16133" width="12.28515625" style="93" customWidth="1"/>
    <col min="16134" max="16134" width="11.140625" style="93" bestFit="1" customWidth="1"/>
    <col min="16135" max="16135" width="10.140625" style="93" customWidth="1"/>
    <col min="16136" max="16136" width="11.85546875" style="93" customWidth="1"/>
    <col min="16137" max="16137" width="10" style="93" customWidth="1"/>
    <col min="16138" max="16138" width="13.85546875" style="93" customWidth="1"/>
    <col min="16139" max="16139" width="10.140625" style="93" customWidth="1"/>
    <col min="16140" max="16140" width="11.140625" style="93" bestFit="1" customWidth="1"/>
    <col min="16141" max="16141" width="11.5703125" style="93" customWidth="1"/>
    <col min="16142" max="16142" width="10.140625" style="93" customWidth="1"/>
    <col min="16143" max="16143" width="7.85546875" style="93" customWidth="1"/>
    <col min="16144" max="16144" width="8.5703125" style="93" customWidth="1"/>
    <col min="16145" max="16145" width="9.42578125" style="93" customWidth="1"/>
    <col min="16146" max="16146" width="9" style="93" customWidth="1"/>
    <col min="16147" max="16147" width="9.140625" style="93" customWidth="1"/>
    <col min="16148" max="16148" width="8.28515625" style="93" customWidth="1"/>
    <col min="16149" max="16384" width="10" style="93"/>
  </cols>
  <sheetData>
    <row r="1" spans="1:22">
      <c r="A1" s="375" t="s">
        <v>517</v>
      </c>
      <c r="B1" s="375"/>
      <c r="C1" s="91"/>
      <c r="D1" s="90"/>
      <c r="E1" s="90"/>
      <c r="F1" s="90"/>
      <c r="G1" s="90"/>
      <c r="H1" s="90"/>
      <c r="I1" s="92"/>
      <c r="J1" s="90"/>
      <c r="K1" s="90"/>
      <c r="L1" s="90"/>
      <c r="M1" s="90"/>
      <c r="N1" s="90"/>
      <c r="O1" s="375" t="s">
        <v>9</v>
      </c>
      <c r="P1" s="375"/>
      <c r="Q1" s="375"/>
      <c r="R1" s="375"/>
      <c r="S1" s="375"/>
      <c r="T1" s="375"/>
      <c r="U1" s="375"/>
    </row>
    <row r="2" spans="1:22">
      <c r="A2" s="90"/>
      <c r="B2" s="90"/>
      <c r="C2" s="91"/>
      <c r="D2" s="90"/>
      <c r="E2" s="91"/>
      <c r="F2" s="90"/>
      <c r="G2" s="90"/>
      <c r="H2" s="90"/>
      <c r="I2" s="92"/>
      <c r="J2" s="90"/>
      <c r="K2" s="90"/>
      <c r="L2" s="90"/>
      <c r="M2" s="90"/>
      <c r="N2" s="90"/>
      <c r="O2" s="90"/>
      <c r="P2" s="90"/>
      <c r="Q2" s="90"/>
      <c r="R2" s="90"/>
      <c r="S2" s="90"/>
      <c r="T2" s="90"/>
      <c r="U2" s="90"/>
    </row>
    <row r="3" spans="1:22">
      <c r="A3" s="375" t="s">
        <v>430</v>
      </c>
      <c r="B3" s="375"/>
      <c r="C3" s="375"/>
      <c r="D3" s="375"/>
      <c r="E3" s="375"/>
      <c r="F3" s="375"/>
      <c r="G3" s="375"/>
      <c r="H3" s="375"/>
      <c r="I3" s="375"/>
      <c r="J3" s="375"/>
      <c r="K3" s="375"/>
      <c r="L3" s="375"/>
      <c r="M3" s="375"/>
      <c r="N3" s="375"/>
      <c r="O3" s="375"/>
      <c r="P3" s="375"/>
      <c r="Q3" s="375"/>
      <c r="R3" s="375"/>
      <c r="S3" s="375"/>
      <c r="T3" s="375"/>
      <c r="U3" s="375"/>
    </row>
    <row r="4" spans="1:22">
      <c r="A4" s="376" t="str">
        <f>'53'!A3:K3</f>
        <v>(Kèm theo Nghị quyết số            /NQ-HĐND ngày     tháng     năm 2023 của Hội đồng nhân dân huyện)</v>
      </c>
      <c r="B4" s="376"/>
      <c r="C4" s="376"/>
      <c r="D4" s="376"/>
      <c r="E4" s="376"/>
      <c r="F4" s="376"/>
      <c r="G4" s="376"/>
      <c r="H4" s="376"/>
      <c r="I4" s="376"/>
      <c r="J4" s="376"/>
      <c r="K4" s="376"/>
      <c r="L4" s="376"/>
      <c r="M4" s="376"/>
      <c r="N4" s="376"/>
      <c r="O4" s="376"/>
      <c r="P4" s="376"/>
      <c r="Q4" s="376"/>
      <c r="R4" s="376"/>
      <c r="S4" s="376"/>
      <c r="T4" s="376"/>
      <c r="U4" s="376"/>
    </row>
    <row r="5" spans="1:22">
      <c r="A5" s="90"/>
      <c r="B5" s="90"/>
      <c r="C5" s="91"/>
      <c r="D5" s="90"/>
      <c r="E5" s="92"/>
      <c r="F5" s="91"/>
      <c r="G5" s="91"/>
      <c r="H5" s="90"/>
      <c r="I5" s="377"/>
      <c r="J5" s="377"/>
      <c r="K5" s="378"/>
      <c r="L5" s="378"/>
      <c r="M5" s="90"/>
      <c r="N5" s="90"/>
      <c r="O5" s="379" t="s">
        <v>15</v>
      </c>
      <c r="P5" s="379"/>
      <c r="Q5" s="379"/>
      <c r="R5" s="379"/>
      <c r="S5" s="379"/>
      <c r="T5" s="379"/>
      <c r="U5" s="379"/>
    </row>
    <row r="6" spans="1:22" s="94" customFormat="1" ht="16.5" customHeight="1">
      <c r="A6" s="372" t="s">
        <v>0</v>
      </c>
      <c r="B6" s="372" t="s">
        <v>225</v>
      </c>
      <c r="C6" s="372" t="s">
        <v>410</v>
      </c>
      <c r="D6" s="372"/>
      <c r="E6" s="372"/>
      <c r="F6" s="372"/>
      <c r="G6" s="372"/>
      <c r="H6" s="372"/>
      <c r="I6" s="372" t="s">
        <v>411</v>
      </c>
      <c r="J6" s="372"/>
      <c r="K6" s="372"/>
      <c r="L6" s="372"/>
      <c r="M6" s="372"/>
      <c r="N6" s="372"/>
      <c r="O6" s="374" t="s">
        <v>54</v>
      </c>
      <c r="P6" s="372" t="s">
        <v>69</v>
      </c>
      <c r="Q6" s="372"/>
      <c r="R6" s="372"/>
      <c r="S6" s="372"/>
      <c r="T6" s="372"/>
      <c r="U6" s="372"/>
    </row>
    <row r="7" spans="1:22" s="94" customFormat="1" ht="48" customHeight="1">
      <c r="A7" s="373"/>
      <c r="B7" s="373"/>
      <c r="C7" s="374" t="s">
        <v>226</v>
      </c>
      <c r="D7" s="374" t="s">
        <v>227</v>
      </c>
      <c r="E7" s="374" t="s">
        <v>228</v>
      </c>
      <c r="F7" s="374" t="s">
        <v>229</v>
      </c>
      <c r="G7" s="374"/>
      <c r="H7" s="374"/>
      <c r="I7" s="374" t="s">
        <v>226</v>
      </c>
      <c r="J7" s="374" t="s">
        <v>227</v>
      </c>
      <c r="K7" s="374" t="s">
        <v>228</v>
      </c>
      <c r="L7" s="374" t="s">
        <v>229</v>
      </c>
      <c r="M7" s="374"/>
      <c r="N7" s="374"/>
      <c r="O7" s="374"/>
      <c r="P7" s="374" t="s">
        <v>226</v>
      </c>
      <c r="Q7" s="374" t="s">
        <v>227</v>
      </c>
      <c r="R7" s="374" t="s">
        <v>228</v>
      </c>
      <c r="S7" s="374" t="s">
        <v>229</v>
      </c>
      <c r="T7" s="374"/>
      <c r="U7" s="374"/>
    </row>
    <row r="8" spans="1:22" s="94" customFormat="1" ht="94.5" customHeight="1">
      <c r="A8" s="373"/>
      <c r="B8" s="373"/>
      <c r="C8" s="374"/>
      <c r="D8" s="374"/>
      <c r="E8" s="374"/>
      <c r="F8" s="230" t="s">
        <v>226</v>
      </c>
      <c r="G8" s="230" t="s">
        <v>45</v>
      </c>
      <c r="H8" s="230" t="s">
        <v>46</v>
      </c>
      <c r="I8" s="374"/>
      <c r="J8" s="374"/>
      <c r="K8" s="374"/>
      <c r="L8" s="230" t="s">
        <v>226</v>
      </c>
      <c r="M8" s="230" t="s">
        <v>45</v>
      </c>
      <c r="N8" s="230" t="s">
        <v>46</v>
      </c>
      <c r="O8" s="374"/>
      <c r="P8" s="374"/>
      <c r="Q8" s="374"/>
      <c r="R8" s="374"/>
      <c r="S8" s="230" t="s">
        <v>226</v>
      </c>
      <c r="T8" s="230" t="s">
        <v>45</v>
      </c>
      <c r="U8" s="230" t="s">
        <v>46</v>
      </c>
    </row>
    <row r="9" spans="1:22" s="96" customFormat="1">
      <c r="A9" s="95">
        <v>1</v>
      </c>
      <c r="B9" s="95">
        <v>2</v>
      </c>
      <c r="C9" s="95">
        <v>3</v>
      </c>
      <c r="D9" s="95">
        <v>4</v>
      </c>
      <c r="E9" s="95">
        <v>5</v>
      </c>
      <c r="F9" s="95">
        <v>6</v>
      </c>
      <c r="G9" s="95">
        <v>7</v>
      </c>
      <c r="H9" s="95">
        <v>8</v>
      </c>
      <c r="I9" s="95">
        <v>9</v>
      </c>
      <c r="J9" s="95">
        <v>10</v>
      </c>
      <c r="K9" s="95">
        <v>11</v>
      </c>
      <c r="L9" s="95">
        <v>12</v>
      </c>
      <c r="M9" s="95">
        <v>13</v>
      </c>
      <c r="N9" s="95">
        <v>14</v>
      </c>
      <c r="O9" s="95">
        <v>15</v>
      </c>
      <c r="P9" s="95">
        <v>16</v>
      </c>
      <c r="Q9" s="95">
        <v>17</v>
      </c>
      <c r="R9" s="95">
        <v>18</v>
      </c>
      <c r="S9" s="95">
        <v>19</v>
      </c>
      <c r="T9" s="95">
        <v>20</v>
      </c>
      <c r="U9" s="95">
        <v>21</v>
      </c>
    </row>
    <row r="10" spans="1:22">
      <c r="A10" s="97"/>
      <c r="B10" s="97" t="s">
        <v>226</v>
      </c>
      <c r="C10" s="98">
        <f t="shared" ref="C10:O10" si="0">SUM(C11:C82)</f>
        <v>418453.46804200002</v>
      </c>
      <c r="D10" s="98">
        <f t="shared" si="0"/>
        <v>18145.966189999999</v>
      </c>
      <c r="E10" s="98">
        <f t="shared" si="0"/>
        <v>257744.32385199994</v>
      </c>
      <c r="F10" s="98">
        <f t="shared" si="0"/>
        <v>142563.17799999996</v>
      </c>
      <c r="G10" s="98">
        <f t="shared" si="0"/>
        <v>135249.02799999999</v>
      </c>
      <c r="H10" s="98">
        <f t="shared" si="0"/>
        <v>7314.15</v>
      </c>
      <c r="I10" s="98">
        <f t="shared" si="0"/>
        <v>341787.05097200011</v>
      </c>
      <c r="J10" s="98">
        <f>SUM(J11:J82)</f>
        <v>15746.590311</v>
      </c>
      <c r="K10" s="98">
        <f t="shared" si="0"/>
        <v>254717.61049899994</v>
      </c>
      <c r="L10" s="98">
        <f t="shared" si="0"/>
        <v>71322.850162000002</v>
      </c>
      <c r="M10" s="98">
        <f t="shared" si="0"/>
        <v>66926.838497999983</v>
      </c>
      <c r="N10" s="98">
        <f t="shared" si="0"/>
        <v>4396.0116639999997</v>
      </c>
      <c r="O10" s="321">
        <f t="shared" si="0"/>
        <v>4265.527610000001</v>
      </c>
      <c r="P10" s="343">
        <f>I10/C10*100</f>
        <v>81.678627870206839</v>
      </c>
      <c r="Q10" s="344">
        <f>J10/D10%</f>
        <v>86.777359475505563</v>
      </c>
      <c r="R10" s="344">
        <f>K10/E10%</f>
        <v>98.825691558298686</v>
      </c>
      <c r="S10" s="344">
        <f>L10/F10*100</f>
        <v>50.02894236967699</v>
      </c>
      <c r="T10" s="344">
        <f>M10/G10%</f>
        <v>49.484154886495737</v>
      </c>
      <c r="U10" s="344">
        <f>N10/H10%</f>
        <v>60.102837158111335</v>
      </c>
      <c r="V10" s="99"/>
    </row>
    <row r="11" spans="1:22">
      <c r="A11" s="100">
        <v>1</v>
      </c>
      <c r="B11" s="101" t="s">
        <v>386</v>
      </c>
      <c r="C11" s="102">
        <f>D11+E11+F11</f>
        <v>7641.6270770000001</v>
      </c>
      <c r="D11" s="103">
        <v>144.04692900000001</v>
      </c>
      <c r="E11" s="104">
        <v>7497.580148</v>
      </c>
      <c r="F11" s="104">
        <f>G11+H11</f>
        <v>0</v>
      </c>
      <c r="G11" s="104"/>
      <c r="H11" s="104"/>
      <c r="I11" s="104">
        <f>J11+K11+L11</f>
        <v>7495.7513010000002</v>
      </c>
      <c r="J11" s="103"/>
      <c r="K11" s="104">
        <v>7495.7513010000002</v>
      </c>
      <c r="L11" s="104">
        <f>M11+N11</f>
        <v>0</v>
      </c>
      <c r="M11" s="104"/>
      <c r="N11" s="104"/>
      <c r="O11" s="116">
        <f>75953/1000000</f>
        <v>7.5953000000000007E-2</v>
      </c>
      <c r="P11" s="116">
        <f>I11/C11*100</f>
        <v>98.091037752430225</v>
      </c>
      <c r="Q11" s="116">
        <f t="shared" ref="Q11:Q39" si="1">J11/D11%</f>
        <v>0</v>
      </c>
      <c r="R11" s="116">
        <f>K11/E11%</f>
        <v>99.97560750316903</v>
      </c>
      <c r="S11" s="322"/>
      <c r="T11" s="322"/>
      <c r="U11" s="322"/>
    </row>
    <row r="12" spans="1:22">
      <c r="A12" s="100">
        <v>2</v>
      </c>
      <c r="B12" s="101" t="s">
        <v>371</v>
      </c>
      <c r="C12" s="102">
        <f>D12+E12+F12</f>
        <v>3917.6442520000001</v>
      </c>
      <c r="D12" s="103">
        <v>350</v>
      </c>
      <c r="E12" s="104">
        <f>1012+84.41+906.781252+107.645+204.308</f>
        <v>2315.1442520000001</v>
      </c>
      <c r="F12" s="104">
        <f>G12+H12</f>
        <v>1252.5</v>
      </c>
      <c r="G12" s="104"/>
      <c r="H12" s="104">
        <f>885+367.5</f>
        <v>1252.5</v>
      </c>
      <c r="I12" s="104">
        <f t="shared" ref="I12:I76" si="2">J12+K12+L12</f>
        <v>3547.2081889999999</v>
      </c>
      <c r="J12" s="103">
        <v>349.90850399999999</v>
      </c>
      <c r="K12" s="104">
        <f>1010.906+84.41+906.781252+98</f>
        <v>2100.097252</v>
      </c>
      <c r="L12" s="104">
        <f t="shared" ref="L12:L76" si="3">M12+N12</f>
        <v>1097.2024329999999</v>
      </c>
      <c r="M12" s="104"/>
      <c r="N12" s="104">
        <f>81.930433+300+480.597+234.675</f>
        <v>1097.2024329999999</v>
      </c>
      <c r="O12" s="116">
        <v>369.25056699999999</v>
      </c>
      <c r="P12" s="116">
        <f t="shared" ref="P12:P71" si="4">I12/C12*100</f>
        <v>90.544418043805578</v>
      </c>
      <c r="Q12" s="116">
        <f t="shared" si="1"/>
        <v>99.973858285714286</v>
      </c>
      <c r="R12" s="116">
        <f>K12/E12%</f>
        <v>90.711291539858664</v>
      </c>
      <c r="S12" s="322">
        <f t="shared" ref="S12:S39" si="5">L12/F12*100</f>
        <v>87.600992654690614</v>
      </c>
      <c r="T12" s="322"/>
      <c r="U12" s="322">
        <f t="shared" ref="U12:U35" si="6">N12/H12%</f>
        <v>87.600992654690614</v>
      </c>
    </row>
    <row r="13" spans="1:22">
      <c r="A13" s="100">
        <v>3</v>
      </c>
      <c r="B13" s="101" t="s">
        <v>230</v>
      </c>
      <c r="C13" s="102">
        <f t="shared" ref="C13:C77" si="7">D13+E13+F13</f>
        <v>897.537462</v>
      </c>
      <c r="D13" s="103"/>
      <c r="E13" s="104">
        <f>220.41+569.127462</f>
        <v>789.537462</v>
      </c>
      <c r="F13" s="104">
        <f t="shared" ref="F13:F77" si="8">G13+H13</f>
        <v>108</v>
      </c>
      <c r="G13" s="104"/>
      <c r="H13" s="104">
        <v>108</v>
      </c>
      <c r="I13" s="104">
        <f>J13+K13+L13</f>
        <v>897.537462</v>
      </c>
      <c r="J13" s="103"/>
      <c r="K13" s="104">
        <f>220.41+569.127462</f>
        <v>789.537462</v>
      </c>
      <c r="L13" s="104">
        <f t="shared" si="3"/>
        <v>108</v>
      </c>
      <c r="M13" s="104"/>
      <c r="N13" s="104">
        <v>108</v>
      </c>
      <c r="O13" s="116"/>
      <c r="P13" s="116">
        <f t="shared" si="4"/>
        <v>100</v>
      </c>
      <c r="Q13" s="116"/>
      <c r="R13" s="116">
        <f t="shared" ref="R13:R71" si="9">K13/E13%</f>
        <v>100</v>
      </c>
      <c r="S13" s="322">
        <f t="shared" si="5"/>
        <v>100</v>
      </c>
      <c r="T13" s="322"/>
      <c r="U13" s="322">
        <f t="shared" si="6"/>
        <v>100</v>
      </c>
    </row>
    <row r="14" spans="1:22">
      <c r="A14" s="100">
        <v>4</v>
      </c>
      <c r="B14" s="101" t="s">
        <v>372</v>
      </c>
      <c r="C14" s="102">
        <f t="shared" si="7"/>
        <v>1979.6463570000001</v>
      </c>
      <c r="D14" s="103"/>
      <c r="E14" s="104">
        <v>1979.6463570000001</v>
      </c>
      <c r="F14" s="104">
        <f t="shared" si="8"/>
        <v>0</v>
      </c>
      <c r="G14" s="104"/>
      <c r="H14" s="104"/>
      <c r="I14" s="104">
        <f t="shared" si="2"/>
        <v>1979.2883569999999</v>
      </c>
      <c r="J14" s="103"/>
      <c r="K14" s="104">
        <v>1979.2883569999999</v>
      </c>
      <c r="L14" s="104">
        <f t="shared" si="3"/>
        <v>0</v>
      </c>
      <c r="M14" s="104"/>
      <c r="N14" s="104"/>
      <c r="O14" s="116"/>
      <c r="P14" s="116">
        <f t="shared" si="4"/>
        <v>99.981915961972987</v>
      </c>
      <c r="Q14" s="116"/>
      <c r="R14" s="116">
        <f t="shared" si="9"/>
        <v>99.981915961972987</v>
      </c>
      <c r="S14" s="322"/>
      <c r="T14" s="322"/>
      <c r="U14" s="322"/>
    </row>
    <row r="15" spans="1:22">
      <c r="A15" s="100">
        <v>5</v>
      </c>
      <c r="B15" s="101" t="s">
        <v>243</v>
      </c>
      <c r="C15" s="102">
        <f t="shared" si="7"/>
        <v>3015.3378199999997</v>
      </c>
      <c r="D15" s="103">
        <v>721.37699999999995</v>
      </c>
      <c r="E15" s="104">
        <v>2293.9608199999998</v>
      </c>
      <c r="F15" s="104">
        <f t="shared" si="8"/>
        <v>0</v>
      </c>
      <c r="G15" s="104"/>
      <c r="H15" s="104"/>
      <c r="I15" s="104">
        <f t="shared" si="2"/>
        <v>3004.1143710000001</v>
      </c>
      <c r="J15" s="103">
        <v>721.37699999999995</v>
      </c>
      <c r="K15" s="104">
        <v>2282.7373710000002</v>
      </c>
      <c r="L15" s="104">
        <f t="shared" si="3"/>
        <v>0</v>
      </c>
      <c r="M15" s="104"/>
      <c r="N15" s="104"/>
      <c r="O15" s="116">
        <v>5.9091290000000001</v>
      </c>
      <c r="P15" s="116">
        <f t="shared" si="4"/>
        <v>99.627788006850935</v>
      </c>
      <c r="Q15" s="116">
        <f t="shared" si="1"/>
        <v>100</v>
      </c>
      <c r="R15" s="116">
        <f t="shared" si="9"/>
        <v>99.510739289784397</v>
      </c>
      <c r="S15" s="322"/>
      <c r="T15" s="322"/>
      <c r="U15" s="322"/>
    </row>
    <row r="16" spans="1:22">
      <c r="A16" s="100">
        <v>6</v>
      </c>
      <c r="B16" s="101" t="s">
        <v>373</v>
      </c>
      <c r="C16" s="102">
        <f t="shared" si="7"/>
        <v>25207.019275999999</v>
      </c>
      <c r="D16" s="103"/>
      <c r="E16" s="104">
        <v>25207.019275999999</v>
      </c>
      <c r="F16" s="104">
        <f t="shared" si="8"/>
        <v>0</v>
      </c>
      <c r="G16" s="104"/>
      <c r="H16" s="104"/>
      <c r="I16" s="104">
        <f t="shared" si="2"/>
        <v>24589.816912999999</v>
      </c>
      <c r="J16" s="103"/>
      <c r="K16" s="104">
        <v>24589.816912999999</v>
      </c>
      <c r="L16" s="104">
        <f t="shared" si="3"/>
        <v>0</v>
      </c>
      <c r="M16" s="104"/>
      <c r="N16" s="104"/>
      <c r="O16" s="116">
        <v>20.399999999999999</v>
      </c>
      <c r="P16" s="116">
        <f t="shared" si="4"/>
        <v>97.551466294994867</v>
      </c>
      <c r="Q16" s="116"/>
      <c r="R16" s="116">
        <f t="shared" si="9"/>
        <v>97.551466294994867</v>
      </c>
      <c r="S16" s="322"/>
      <c r="T16" s="322"/>
      <c r="U16" s="322"/>
    </row>
    <row r="17" spans="1:21">
      <c r="A17" s="100">
        <v>7</v>
      </c>
      <c r="B17" s="101" t="s">
        <v>374</v>
      </c>
      <c r="C17" s="102">
        <f t="shared" si="7"/>
        <v>401.03</v>
      </c>
      <c r="D17" s="103"/>
      <c r="E17" s="104">
        <v>401.03</v>
      </c>
      <c r="F17" s="104">
        <f t="shared" si="8"/>
        <v>0</v>
      </c>
      <c r="G17" s="104"/>
      <c r="H17" s="104"/>
      <c r="I17" s="104">
        <f t="shared" si="2"/>
        <v>400.964336</v>
      </c>
      <c r="J17" s="103"/>
      <c r="K17" s="104">
        <v>400.964336</v>
      </c>
      <c r="L17" s="104">
        <f t="shared" si="3"/>
        <v>0</v>
      </c>
      <c r="M17" s="104"/>
      <c r="N17" s="104"/>
      <c r="O17" s="116"/>
      <c r="P17" s="116">
        <f t="shared" si="4"/>
        <v>99.983626162631239</v>
      </c>
      <c r="Q17" s="116"/>
      <c r="R17" s="116">
        <f t="shared" si="9"/>
        <v>99.983626162631225</v>
      </c>
      <c r="S17" s="322"/>
      <c r="T17" s="322"/>
      <c r="U17" s="322"/>
    </row>
    <row r="18" spans="1:21">
      <c r="A18" s="100">
        <v>8</v>
      </c>
      <c r="B18" s="101" t="s">
        <v>375</v>
      </c>
      <c r="C18" s="102">
        <f>D18+E18+F18</f>
        <v>14907.023276999998</v>
      </c>
      <c r="D18" s="103"/>
      <c r="E18" s="104">
        <f>809.853277+10+239.91+12555.96+68.9</f>
        <v>13684.623276999999</v>
      </c>
      <c r="F18" s="104">
        <f t="shared" si="8"/>
        <v>1222.4000000000001</v>
      </c>
      <c r="G18" s="104"/>
      <c r="H18" s="104">
        <f>300+444+142+336.4</f>
        <v>1222.4000000000001</v>
      </c>
      <c r="I18" s="104">
        <f t="shared" si="2"/>
        <v>13453.895777</v>
      </c>
      <c r="J18" s="103"/>
      <c r="K18" s="104">
        <f>809.853277+239.91+11870.4185+68.9</f>
        <v>12989.081776999999</v>
      </c>
      <c r="L18" s="104">
        <f t="shared" si="3"/>
        <v>464.81399999999996</v>
      </c>
      <c r="M18" s="104"/>
      <c r="N18" s="104">
        <f>150+5+19.65+290.164</f>
        <v>464.81399999999996</v>
      </c>
      <c r="O18" s="116">
        <v>757.58600000000001</v>
      </c>
      <c r="P18" s="116">
        <f t="shared" si="4"/>
        <v>90.252061239871921</v>
      </c>
      <c r="Q18" s="116"/>
      <c r="R18" s="116">
        <f t="shared" si="9"/>
        <v>94.917350036452888</v>
      </c>
      <c r="S18" s="322">
        <f t="shared" si="5"/>
        <v>38.024705497382193</v>
      </c>
      <c r="T18" s="322"/>
      <c r="U18" s="322">
        <f t="shared" si="6"/>
        <v>38.024705497382193</v>
      </c>
    </row>
    <row r="19" spans="1:21">
      <c r="A19" s="100">
        <v>9</v>
      </c>
      <c r="B19" s="101" t="s">
        <v>376</v>
      </c>
      <c r="C19" s="102">
        <f t="shared" si="7"/>
        <v>972.58519999999999</v>
      </c>
      <c r="D19" s="103"/>
      <c r="E19" s="104">
        <f>972.5852-100</f>
        <v>872.58519999999999</v>
      </c>
      <c r="F19" s="104">
        <f t="shared" si="8"/>
        <v>100</v>
      </c>
      <c r="G19" s="104"/>
      <c r="H19" s="104">
        <v>100</v>
      </c>
      <c r="I19" s="104">
        <f t="shared" si="2"/>
        <v>872.58399999999995</v>
      </c>
      <c r="J19" s="103"/>
      <c r="K19" s="104">
        <v>872.58399999999995</v>
      </c>
      <c r="L19" s="104">
        <f t="shared" si="3"/>
        <v>0</v>
      </c>
      <c r="M19" s="104"/>
      <c r="N19" s="104"/>
      <c r="O19" s="116">
        <v>100</v>
      </c>
      <c r="P19" s="116">
        <f t="shared" si="4"/>
        <v>89.718001055331712</v>
      </c>
      <c r="Q19" s="116"/>
      <c r="R19" s="116">
        <f t="shared" si="9"/>
        <v>99.999862477612496</v>
      </c>
      <c r="S19" s="322"/>
      <c r="T19" s="322"/>
      <c r="U19" s="322"/>
    </row>
    <row r="20" spans="1:21">
      <c r="A20" s="100">
        <v>10</v>
      </c>
      <c r="B20" s="101" t="s">
        <v>255</v>
      </c>
      <c r="C20" s="102">
        <f t="shared" si="7"/>
        <v>3340.6261599999998</v>
      </c>
      <c r="D20" s="103"/>
      <c r="E20" s="104">
        <v>3340.6261599999998</v>
      </c>
      <c r="F20" s="104">
        <f t="shared" si="8"/>
        <v>0</v>
      </c>
      <c r="G20" s="104"/>
      <c r="H20" s="104"/>
      <c r="I20" s="104">
        <f t="shared" si="2"/>
        <v>3182.368868</v>
      </c>
      <c r="J20" s="103"/>
      <c r="K20" s="104">
        <v>3182.368868</v>
      </c>
      <c r="L20" s="104">
        <f t="shared" si="3"/>
        <v>0</v>
      </c>
      <c r="M20" s="104"/>
      <c r="N20" s="104"/>
      <c r="O20" s="116"/>
      <c r="P20" s="116">
        <f t="shared" si="4"/>
        <v>95.262645850800624</v>
      </c>
      <c r="Q20" s="116"/>
      <c r="R20" s="116">
        <f t="shared" si="9"/>
        <v>95.26264585080061</v>
      </c>
      <c r="S20" s="322"/>
      <c r="T20" s="322"/>
      <c r="U20" s="322"/>
    </row>
    <row r="21" spans="1:21">
      <c r="A21" s="100">
        <v>11</v>
      </c>
      <c r="B21" s="101" t="s">
        <v>377</v>
      </c>
      <c r="C21" s="102">
        <f t="shared" si="7"/>
        <v>1702.9941229999999</v>
      </c>
      <c r="D21" s="103"/>
      <c r="E21" s="104">
        <v>1702.9941229999999</v>
      </c>
      <c r="F21" s="104">
        <f t="shared" si="8"/>
        <v>0</v>
      </c>
      <c r="G21" s="104"/>
      <c r="H21" s="104"/>
      <c r="I21" s="104">
        <f t="shared" si="2"/>
        <v>1695.9050629999999</v>
      </c>
      <c r="J21" s="103"/>
      <c r="K21" s="104">
        <v>1695.9050629999999</v>
      </c>
      <c r="L21" s="104">
        <f t="shared" si="3"/>
        <v>0</v>
      </c>
      <c r="M21" s="104"/>
      <c r="N21" s="104"/>
      <c r="O21" s="116">
        <v>2.2844000000000002</v>
      </c>
      <c r="P21" s="116">
        <f t="shared" si="4"/>
        <v>99.583729626294186</v>
      </c>
      <c r="Q21" s="116"/>
      <c r="R21" s="116">
        <f t="shared" si="9"/>
        <v>99.5837296262942</v>
      </c>
      <c r="S21" s="322"/>
      <c r="T21" s="322"/>
      <c r="U21" s="322"/>
    </row>
    <row r="22" spans="1:21">
      <c r="A22" s="100">
        <v>12</v>
      </c>
      <c r="B22" s="101" t="s">
        <v>378</v>
      </c>
      <c r="C22" s="102">
        <f t="shared" si="7"/>
        <v>665.56299999999999</v>
      </c>
      <c r="D22" s="103"/>
      <c r="E22" s="104">
        <v>665.56299999999999</v>
      </c>
      <c r="F22" s="104">
        <f t="shared" si="8"/>
        <v>0</v>
      </c>
      <c r="G22" s="104"/>
      <c r="H22" s="104"/>
      <c r="I22" s="104">
        <f t="shared" si="2"/>
        <v>665.55399999999997</v>
      </c>
      <c r="J22" s="103"/>
      <c r="K22" s="104">
        <v>665.55399999999997</v>
      </c>
      <c r="L22" s="104">
        <f t="shared" si="3"/>
        <v>0</v>
      </c>
      <c r="M22" s="104"/>
      <c r="N22" s="104"/>
      <c r="O22" s="116"/>
      <c r="P22" s="116">
        <f t="shared" si="4"/>
        <v>99.998647761368943</v>
      </c>
      <c r="Q22" s="116"/>
      <c r="R22" s="116">
        <f t="shared" si="9"/>
        <v>99.998647761368943</v>
      </c>
      <c r="S22" s="322"/>
      <c r="T22" s="322"/>
      <c r="U22" s="322"/>
    </row>
    <row r="23" spans="1:21">
      <c r="A23" s="100">
        <v>13</v>
      </c>
      <c r="B23" s="101" t="s">
        <v>231</v>
      </c>
      <c r="C23" s="102">
        <f t="shared" si="7"/>
        <v>2553.7713800000001</v>
      </c>
      <c r="D23" s="103"/>
      <c r="E23" s="104">
        <f>208.41+583.6+4.76138</f>
        <v>796.77138000000002</v>
      </c>
      <c r="F23" s="104">
        <f t="shared" si="8"/>
        <v>1757</v>
      </c>
      <c r="G23" s="104"/>
      <c r="H23" s="104">
        <f>186+179+1323+69</f>
        <v>1757</v>
      </c>
      <c r="I23" s="104">
        <f t="shared" si="2"/>
        <v>2135.9241660000002</v>
      </c>
      <c r="J23" s="103"/>
      <c r="K23" s="104">
        <f>208.41+583.248429</f>
        <v>791.65842899999996</v>
      </c>
      <c r="L23" s="104">
        <f t="shared" si="3"/>
        <v>1344.2657370000002</v>
      </c>
      <c r="M23" s="104"/>
      <c r="N23" s="104">
        <f>30.4+1296.713737+17.152</f>
        <v>1344.2657370000002</v>
      </c>
      <c r="O23" s="116">
        <v>417.84721400000001</v>
      </c>
      <c r="P23" s="116">
        <f t="shared" si="4"/>
        <v>83.638033644186265</v>
      </c>
      <c r="Q23" s="116"/>
      <c r="R23" s="116">
        <f t="shared" si="9"/>
        <v>99.358291333205258</v>
      </c>
      <c r="S23" s="322">
        <f t="shared" si="5"/>
        <v>76.509148377916915</v>
      </c>
      <c r="T23" s="322"/>
      <c r="U23" s="322">
        <f t="shared" si="6"/>
        <v>76.509148377916915</v>
      </c>
    </row>
    <row r="24" spans="1:21">
      <c r="A24" s="100">
        <v>14</v>
      </c>
      <c r="B24" s="101" t="s">
        <v>379</v>
      </c>
      <c r="C24" s="102">
        <f>D24+E24+F24</f>
        <v>8853.4714010000007</v>
      </c>
      <c r="D24" s="103">
        <v>500</v>
      </c>
      <c r="E24" s="104">
        <v>8353.4714010000007</v>
      </c>
      <c r="F24" s="104">
        <f t="shared" si="8"/>
        <v>0</v>
      </c>
      <c r="G24" s="104"/>
      <c r="H24" s="104"/>
      <c r="I24" s="104">
        <f t="shared" si="2"/>
        <v>8848.5506609999993</v>
      </c>
      <c r="J24" s="103">
        <v>495.26526000000001</v>
      </c>
      <c r="K24" s="104">
        <v>8353.2854009999992</v>
      </c>
      <c r="L24" s="104">
        <f t="shared" si="3"/>
        <v>0</v>
      </c>
      <c r="M24" s="104"/>
      <c r="N24" s="104"/>
      <c r="O24" s="116"/>
      <c r="P24" s="116">
        <f t="shared" si="4"/>
        <v>99.944420219175896</v>
      </c>
      <c r="Q24" s="116">
        <f t="shared" si="1"/>
        <v>99.053052000000008</v>
      </c>
      <c r="R24" s="116">
        <f t="shared" si="9"/>
        <v>99.997773380777019</v>
      </c>
      <c r="S24" s="322"/>
      <c r="T24" s="322"/>
      <c r="U24" s="322"/>
    </row>
    <row r="25" spans="1:21">
      <c r="A25" s="100">
        <v>15</v>
      </c>
      <c r="B25" s="101" t="s">
        <v>380</v>
      </c>
      <c r="C25" s="102">
        <f t="shared" si="7"/>
        <v>3568.2707049999999</v>
      </c>
      <c r="D25" s="103"/>
      <c r="E25" s="104">
        <v>3568.2707049999999</v>
      </c>
      <c r="F25" s="104">
        <f t="shared" si="8"/>
        <v>0</v>
      </c>
      <c r="G25" s="104"/>
      <c r="H25" s="104"/>
      <c r="I25" s="104">
        <f t="shared" si="2"/>
        <v>3568.2707049999999</v>
      </c>
      <c r="J25" s="103"/>
      <c r="K25" s="104">
        <v>3568.2707049999999</v>
      </c>
      <c r="L25" s="104">
        <f t="shared" si="3"/>
        <v>0</v>
      </c>
      <c r="M25" s="104"/>
      <c r="N25" s="104"/>
      <c r="O25" s="116"/>
      <c r="P25" s="116">
        <f t="shared" si="4"/>
        <v>100</v>
      </c>
      <c r="Q25" s="116"/>
      <c r="R25" s="116">
        <f t="shared" si="9"/>
        <v>100</v>
      </c>
      <c r="S25" s="322"/>
      <c r="T25" s="322"/>
      <c r="U25" s="322"/>
    </row>
    <row r="26" spans="1:21">
      <c r="A26" s="100">
        <v>16</v>
      </c>
      <c r="B26" s="101" t="s">
        <v>389</v>
      </c>
      <c r="C26" s="102">
        <f t="shared" si="7"/>
        <v>1039.3482320000001</v>
      </c>
      <c r="D26" s="103"/>
      <c r="E26" s="104">
        <v>1039.3482320000001</v>
      </c>
      <c r="F26" s="104">
        <f t="shared" si="8"/>
        <v>0</v>
      </c>
      <c r="G26" s="104"/>
      <c r="H26" s="104"/>
      <c r="I26" s="104">
        <f t="shared" si="2"/>
        <v>1039.3482320000001</v>
      </c>
      <c r="J26" s="103"/>
      <c r="K26" s="104">
        <v>1039.3482320000001</v>
      </c>
      <c r="L26" s="104">
        <f t="shared" si="3"/>
        <v>0</v>
      </c>
      <c r="M26" s="104"/>
      <c r="N26" s="104"/>
      <c r="O26" s="116"/>
      <c r="P26" s="116">
        <f t="shared" si="4"/>
        <v>100</v>
      </c>
      <c r="Q26" s="116"/>
      <c r="R26" s="116">
        <f t="shared" si="9"/>
        <v>100</v>
      </c>
      <c r="S26" s="322"/>
      <c r="T26" s="322"/>
      <c r="U26" s="322"/>
    </row>
    <row r="27" spans="1:21">
      <c r="A27" s="100">
        <v>17</v>
      </c>
      <c r="B27" s="101" t="s">
        <v>381</v>
      </c>
      <c r="C27" s="102">
        <f t="shared" si="7"/>
        <v>1214.5542</v>
      </c>
      <c r="D27" s="103"/>
      <c r="E27" s="104">
        <f>103.41+646.1442</f>
        <v>749.55419999999992</v>
      </c>
      <c r="F27" s="104">
        <f t="shared" si="8"/>
        <v>465</v>
      </c>
      <c r="G27" s="104"/>
      <c r="H27" s="104">
        <v>465</v>
      </c>
      <c r="I27" s="104">
        <f t="shared" si="2"/>
        <v>1153.033694</v>
      </c>
      <c r="J27" s="103"/>
      <c r="K27" s="104">
        <v>749.55419999999992</v>
      </c>
      <c r="L27" s="104">
        <f t="shared" si="3"/>
        <v>403.47949399999999</v>
      </c>
      <c r="M27" s="104"/>
      <c r="N27" s="104">
        <v>403.47949399999999</v>
      </c>
      <c r="O27" s="116">
        <v>61.520506000000069</v>
      </c>
      <c r="P27" s="116">
        <f t="shared" si="4"/>
        <v>94.934725350256073</v>
      </c>
      <c r="Q27" s="116"/>
      <c r="R27" s="116">
        <f t="shared" si="9"/>
        <v>100</v>
      </c>
      <c r="S27" s="322">
        <f t="shared" si="5"/>
        <v>86.769783655913983</v>
      </c>
      <c r="T27" s="322"/>
      <c r="U27" s="322">
        <f t="shared" si="6"/>
        <v>86.769783655913969</v>
      </c>
    </row>
    <row r="28" spans="1:21">
      <c r="A28" s="100">
        <v>18</v>
      </c>
      <c r="B28" s="101" t="s">
        <v>382</v>
      </c>
      <c r="C28" s="102">
        <f t="shared" si="7"/>
        <v>755.56610000000001</v>
      </c>
      <c r="D28" s="103"/>
      <c r="E28" s="104">
        <v>755.56610000000001</v>
      </c>
      <c r="F28" s="104">
        <f t="shared" si="8"/>
        <v>0</v>
      </c>
      <c r="G28" s="104"/>
      <c r="H28" s="104"/>
      <c r="I28" s="104">
        <f t="shared" si="2"/>
        <v>745.56610000000001</v>
      </c>
      <c r="J28" s="103"/>
      <c r="K28" s="104">
        <v>745.56610000000001</v>
      </c>
      <c r="L28" s="104">
        <f t="shared" si="3"/>
        <v>0</v>
      </c>
      <c r="M28" s="104"/>
      <c r="N28" s="104"/>
      <c r="O28" s="116"/>
      <c r="P28" s="116">
        <f t="shared" si="4"/>
        <v>98.676489058998285</v>
      </c>
      <c r="Q28" s="116"/>
      <c r="R28" s="116">
        <f t="shared" si="9"/>
        <v>98.676489058998285</v>
      </c>
      <c r="S28" s="322"/>
      <c r="T28" s="322"/>
      <c r="U28" s="322"/>
    </row>
    <row r="29" spans="1:21">
      <c r="A29" s="100">
        <v>19</v>
      </c>
      <c r="B29" s="101" t="s">
        <v>383</v>
      </c>
      <c r="C29" s="102">
        <f t="shared" si="7"/>
        <v>823.85986100000002</v>
      </c>
      <c r="D29" s="103"/>
      <c r="E29" s="104">
        <v>823.85986100000002</v>
      </c>
      <c r="F29" s="104">
        <f t="shared" si="8"/>
        <v>0</v>
      </c>
      <c r="G29" s="104"/>
      <c r="H29" s="104"/>
      <c r="I29" s="104">
        <f t="shared" si="2"/>
        <v>823.85986100000002</v>
      </c>
      <c r="J29" s="103"/>
      <c r="K29" s="104">
        <v>823.85986100000002</v>
      </c>
      <c r="L29" s="104">
        <f t="shared" si="3"/>
        <v>0</v>
      </c>
      <c r="M29" s="104"/>
      <c r="N29" s="104"/>
      <c r="O29" s="116"/>
      <c r="P29" s="116">
        <f t="shared" si="4"/>
        <v>100</v>
      </c>
      <c r="Q29" s="116"/>
      <c r="R29" s="116">
        <f t="shared" si="9"/>
        <v>100</v>
      </c>
      <c r="S29" s="322"/>
      <c r="T29" s="322"/>
      <c r="U29" s="322"/>
    </row>
    <row r="30" spans="1:21">
      <c r="A30" s="100">
        <v>20</v>
      </c>
      <c r="B30" s="101" t="s">
        <v>384</v>
      </c>
      <c r="C30" s="102">
        <f t="shared" si="7"/>
        <v>284.71617600000002</v>
      </c>
      <c r="D30" s="103"/>
      <c r="E30" s="104">
        <v>284.71617600000002</v>
      </c>
      <c r="F30" s="104">
        <f t="shared" si="8"/>
        <v>0</v>
      </c>
      <c r="G30" s="104"/>
      <c r="H30" s="104"/>
      <c r="I30" s="104">
        <f t="shared" si="2"/>
        <v>284.71617600000002</v>
      </c>
      <c r="J30" s="103"/>
      <c r="K30" s="104">
        <v>284.71617600000002</v>
      </c>
      <c r="L30" s="104">
        <f t="shared" si="3"/>
        <v>0</v>
      </c>
      <c r="M30" s="104"/>
      <c r="N30" s="104"/>
      <c r="O30" s="116"/>
      <c r="P30" s="116">
        <f t="shared" si="4"/>
        <v>100</v>
      </c>
      <c r="Q30" s="116"/>
      <c r="R30" s="116">
        <f t="shared" si="9"/>
        <v>100</v>
      </c>
      <c r="S30" s="322"/>
      <c r="T30" s="322"/>
      <c r="U30" s="322"/>
    </row>
    <row r="31" spans="1:21">
      <c r="A31" s="100">
        <v>21</v>
      </c>
      <c r="B31" s="101" t="s">
        <v>232</v>
      </c>
      <c r="C31" s="102">
        <f t="shared" si="7"/>
        <v>157.5</v>
      </c>
      <c r="D31" s="103"/>
      <c r="E31" s="104">
        <v>157.5</v>
      </c>
      <c r="F31" s="104"/>
      <c r="G31" s="104"/>
      <c r="H31" s="104"/>
      <c r="I31" s="104">
        <f t="shared" si="2"/>
        <v>157.5</v>
      </c>
      <c r="J31" s="103"/>
      <c r="K31" s="104">
        <v>157.5</v>
      </c>
      <c r="L31" s="104">
        <f t="shared" si="3"/>
        <v>0</v>
      </c>
      <c r="M31" s="104"/>
      <c r="N31" s="104"/>
      <c r="O31" s="116"/>
      <c r="P31" s="116">
        <f t="shared" si="4"/>
        <v>100</v>
      </c>
      <c r="Q31" s="116"/>
      <c r="R31" s="116">
        <f t="shared" si="9"/>
        <v>100</v>
      </c>
      <c r="S31" s="322"/>
      <c r="T31" s="322"/>
      <c r="U31" s="322"/>
    </row>
    <row r="32" spans="1:21">
      <c r="A32" s="100">
        <v>22</v>
      </c>
      <c r="B32" s="101" t="s">
        <v>385</v>
      </c>
      <c r="C32" s="102">
        <f t="shared" si="7"/>
        <v>238.5</v>
      </c>
      <c r="D32" s="103"/>
      <c r="E32" s="104">
        <v>238.5</v>
      </c>
      <c r="F32" s="104"/>
      <c r="G32" s="104"/>
      <c r="H32" s="104"/>
      <c r="I32" s="104">
        <f t="shared" si="2"/>
        <v>238.5</v>
      </c>
      <c r="J32" s="103"/>
      <c r="K32" s="104">
        <v>238.5</v>
      </c>
      <c r="L32" s="104">
        <f t="shared" si="3"/>
        <v>0</v>
      </c>
      <c r="M32" s="104"/>
      <c r="N32" s="104"/>
      <c r="O32" s="116"/>
      <c r="P32" s="116">
        <f t="shared" si="4"/>
        <v>100</v>
      </c>
      <c r="Q32" s="116"/>
      <c r="R32" s="116">
        <f t="shared" si="9"/>
        <v>100.00000000000001</v>
      </c>
      <c r="S32" s="322"/>
      <c r="T32" s="322"/>
      <c r="U32" s="322"/>
    </row>
    <row r="33" spans="1:21">
      <c r="A33" s="100">
        <v>23</v>
      </c>
      <c r="B33" s="101" t="s">
        <v>431</v>
      </c>
      <c r="C33" s="102">
        <f>D33+E33+F33</f>
        <v>45</v>
      </c>
      <c r="D33" s="103"/>
      <c r="E33" s="104">
        <v>45</v>
      </c>
      <c r="F33" s="104"/>
      <c r="G33" s="104"/>
      <c r="H33" s="104"/>
      <c r="I33" s="104">
        <f t="shared" si="2"/>
        <v>45</v>
      </c>
      <c r="J33" s="103"/>
      <c r="K33" s="104">
        <v>45</v>
      </c>
      <c r="L33" s="104">
        <f t="shared" si="3"/>
        <v>0</v>
      </c>
      <c r="M33" s="104"/>
      <c r="N33" s="104"/>
      <c r="O33" s="116"/>
      <c r="P33" s="116">
        <f t="shared" ref="P33" si="10">I33/C33*100</f>
        <v>100</v>
      </c>
      <c r="Q33" s="116"/>
      <c r="R33" s="116">
        <f t="shared" ref="R33" si="11">K33/E33%</f>
        <v>100</v>
      </c>
      <c r="S33" s="322"/>
      <c r="T33" s="322"/>
      <c r="U33" s="322"/>
    </row>
    <row r="34" spans="1:21">
      <c r="A34" s="100">
        <v>23</v>
      </c>
      <c r="B34" s="101" t="s">
        <v>233</v>
      </c>
      <c r="C34" s="102">
        <f t="shared" si="7"/>
        <v>6021.8044269999991</v>
      </c>
      <c r="D34" s="103">
        <v>5.8650000000000002</v>
      </c>
      <c r="E34" s="104">
        <f>561+441+364+739.74385+1222.497205+272.070372+80.6</f>
        <v>3680.9114269999995</v>
      </c>
      <c r="F34" s="104">
        <f t="shared" si="8"/>
        <v>2335.0280000000002</v>
      </c>
      <c r="G34" s="104">
        <v>2006.028</v>
      </c>
      <c r="H34" s="104">
        <f>155+82+50+42</f>
        <v>329</v>
      </c>
      <c r="I34" s="104">
        <f t="shared" si="2"/>
        <v>4529.7875619999995</v>
      </c>
      <c r="J34" s="103">
        <v>5.8650000000000002</v>
      </c>
      <c r="K34" s="104">
        <f>440.4942+363.935012+739.74385+1222.497205+272.070372+80.6+560.933871</f>
        <v>3680.2745099999993</v>
      </c>
      <c r="L34" s="104">
        <f t="shared" si="3"/>
        <v>843.64805200000001</v>
      </c>
      <c r="M34" s="104">
        <v>556.64805200000001</v>
      </c>
      <c r="N34" s="104">
        <v>287</v>
      </c>
      <c r="O34" s="116">
        <v>42</v>
      </c>
      <c r="P34" s="116">
        <f t="shared" si="4"/>
        <v>75.223093292265773</v>
      </c>
      <c r="Q34" s="116"/>
      <c r="R34" s="116">
        <f t="shared" si="9"/>
        <v>99.982696758326526</v>
      </c>
      <c r="S34" s="322">
        <f t="shared" si="5"/>
        <v>36.130104307100382</v>
      </c>
      <c r="T34" s="322">
        <f t="shared" ref="T34:T39" si="12">M34/G34%</f>
        <v>27.748767813809181</v>
      </c>
      <c r="U34" s="322">
        <f t="shared" si="6"/>
        <v>87.234042553191486</v>
      </c>
    </row>
    <row r="35" spans="1:21">
      <c r="A35" s="100">
        <v>24</v>
      </c>
      <c r="B35" s="101" t="s">
        <v>234</v>
      </c>
      <c r="C35" s="102">
        <f t="shared" si="7"/>
        <v>3803.1</v>
      </c>
      <c r="D35" s="103"/>
      <c r="E35" s="104">
        <f>837.1+1577</f>
        <v>2414.1</v>
      </c>
      <c r="F35" s="104">
        <f t="shared" si="8"/>
        <v>1389</v>
      </c>
      <c r="G35" s="104"/>
      <c r="H35" s="104">
        <v>1389</v>
      </c>
      <c r="I35" s="104">
        <f t="shared" si="2"/>
        <v>2409.094431</v>
      </c>
      <c r="J35" s="103"/>
      <c r="K35" s="104">
        <f>837.1+1571.994431</f>
        <v>2409.094431</v>
      </c>
      <c r="L35" s="104">
        <f t="shared" si="3"/>
        <v>0</v>
      </c>
      <c r="M35" s="104"/>
      <c r="N35" s="104"/>
      <c r="O35" s="116">
        <v>1389</v>
      </c>
      <c r="P35" s="116">
        <f t="shared" si="4"/>
        <v>63.345545239409958</v>
      </c>
      <c r="Q35" s="116"/>
      <c r="R35" s="116">
        <f t="shared" si="9"/>
        <v>99.792652789859588</v>
      </c>
      <c r="S35" s="322">
        <f t="shared" si="5"/>
        <v>0</v>
      </c>
      <c r="T35" s="322"/>
      <c r="U35" s="322">
        <f t="shared" si="6"/>
        <v>0</v>
      </c>
    </row>
    <row r="36" spans="1:21">
      <c r="A36" s="100">
        <v>25</v>
      </c>
      <c r="B36" s="101" t="s">
        <v>235</v>
      </c>
      <c r="C36" s="102">
        <f t="shared" si="7"/>
        <v>944.98564599999997</v>
      </c>
      <c r="D36" s="103"/>
      <c r="E36" s="104">
        <v>944.98564599999997</v>
      </c>
      <c r="F36" s="104">
        <f t="shared" si="8"/>
        <v>0</v>
      </c>
      <c r="G36" s="104"/>
      <c r="H36" s="104"/>
      <c r="I36" s="104">
        <f t="shared" si="2"/>
        <v>944.37498700000003</v>
      </c>
      <c r="J36" s="103"/>
      <c r="K36" s="104">
        <v>944.37498700000003</v>
      </c>
      <c r="L36" s="104">
        <f t="shared" si="3"/>
        <v>0</v>
      </c>
      <c r="M36" s="104"/>
      <c r="N36" s="104"/>
      <c r="O36" s="116">
        <v>0.61065899999994144</v>
      </c>
      <c r="P36" s="116">
        <f t="shared" si="4"/>
        <v>99.935379018444905</v>
      </c>
      <c r="Q36" s="116"/>
      <c r="R36" s="116">
        <f t="shared" si="9"/>
        <v>99.935379018444905</v>
      </c>
      <c r="S36" s="322"/>
      <c r="T36" s="322"/>
      <c r="U36" s="322"/>
    </row>
    <row r="37" spans="1:21">
      <c r="A37" s="100">
        <v>26</v>
      </c>
      <c r="B37" s="101" t="s">
        <v>236</v>
      </c>
      <c r="C37" s="102">
        <f t="shared" si="7"/>
        <v>3093.4190039999999</v>
      </c>
      <c r="D37" s="103">
        <v>225.109004</v>
      </c>
      <c r="E37" s="104">
        <v>2868.31</v>
      </c>
      <c r="F37" s="104">
        <f t="shared" si="8"/>
        <v>0</v>
      </c>
      <c r="G37" s="104"/>
      <c r="H37" s="104"/>
      <c r="I37" s="104">
        <f t="shared" si="2"/>
        <v>3033.5072870000004</v>
      </c>
      <c r="J37" s="103">
        <v>194.16399999999999</v>
      </c>
      <c r="K37" s="104">
        <v>2839.3432870000001</v>
      </c>
      <c r="L37" s="104">
        <f t="shared" si="3"/>
        <v>0</v>
      </c>
      <c r="M37" s="104"/>
      <c r="N37" s="104"/>
      <c r="O37" s="116"/>
      <c r="P37" s="116">
        <f t="shared" si="4"/>
        <v>98.063252442603812</v>
      </c>
      <c r="Q37" s="116">
        <f t="shared" si="1"/>
        <v>86.25332463378497</v>
      </c>
      <c r="R37" s="116">
        <f t="shared" si="9"/>
        <v>98.990112191499534</v>
      </c>
      <c r="S37" s="322"/>
      <c r="T37" s="322"/>
      <c r="U37" s="322"/>
    </row>
    <row r="38" spans="1:21">
      <c r="A38" s="100">
        <v>27</v>
      </c>
      <c r="B38" s="101" t="s">
        <v>242</v>
      </c>
      <c r="C38" s="102">
        <f t="shared" si="7"/>
        <v>4122.4293589999997</v>
      </c>
      <c r="D38" s="103"/>
      <c r="E38" s="104">
        <f>95.4377+3330.662385+5.079274</f>
        <v>3431.1793590000002</v>
      </c>
      <c r="F38" s="104">
        <f t="shared" si="8"/>
        <v>691.25</v>
      </c>
      <c r="G38" s="104"/>
      <c r="H38" s="104">
        <v>691.25</v>
      </c>
      <c r="I38" s="104">
        <f t="shared" si="2"/>
        <v>4117.350085</v>
      </c>
      <c r="J38" s="103"/>
      <c r="K38" s="104">
        <f>95.4377+3330.662385</f>
        <v>3426.100085</v>
      </c>
      <c r="L38" s="104">
        <f t="shared" si="3"/>
        <v>691.25</v>
      </c>
      <c r="M38" s="104"/>
      <c r="N38" s="104">
        <v>691.25</v>
      </c>
      <c r="O38" s="116">
        <v>5.0792739999997139</v>
      </c>
      <c r="P38" s="116">
        <f t="shared" ref="P38" si="13">I38/C38*100</f>
        <v>99.876789301703596</v>
      </c>
      <c r="Q38" s="116"/>
      <c r="R38" s="116">
        <f t="shared" ref="R38" si="14">K38/E38%</f>
        <v>99.851967109015234</v>
      </c>
      <c r="S38" s="322">
        <f t="shared" ref="S38" si="15">L38/F38*100</f>
        <v>100</v>
      </c>
      <c r="T38" s="322"/>
      <c r="U38" s="322">
        <f t="shared" ref="U38" si="16">N38/H38%</f>
        <v>100</v>
      </c>
    </row>
    <row r="39" spans="1:21">
      <c r="A39" s="100">
        <v>28</v>
      </c>
      <c r="B39" s="101" t="s">
        <v>460</v>
      </c>
      <c r="C39" s="102">
        <f t="shared" si="7"/>
        <v>98477.266357999993</v>
      </c>
      <c r="D39" s="103">
        <v>13928.419096</v>
      </c>
      <c r="E39" s="104">
        <v>9921.8472619999993</v>
      </c>
      <c r="F39" s="104">
        <f t="shared" si="8"/>
        <v>74627</v>
      </c>
      <c r="G39" s="104">
        <v>74627</v>
      </c>
      <c r="H39" s="104"/>
      <c r="I39" s="104">
        <f>J39+K39+L39</f>
        <v>61247.005472999997</v>
      </c>
      <c r="J39" s="103">
        <v>12127.124247</v>
      </c>
      <c r="K39" s="104">
        <v>9883.6554259999994</v>
      </c>
      <c r="L39" s="104">
        <f t="shared" si="3"/>
        <v>39236.2258</v>
      </c>
      <c r="M39" s="104">
        <v>39236.2258</v>
      </c>
      <c r="N39" s="104"/>
      <c r="O39" s="116">
        <v>24.380251000000001</v>
      </c>
      <c r="P39" s="116">
        <f t="shared" si="4"/>
        <v>62.194055276011909</v>
      </c>
      <c r="Q39" s="116">
        <f t="shared" si="1"/>
        <v>87.067485286127706</v>
      </c>
      <c r="R39" s="116">
        <f>K39/E39%</f>
        <v>99.615073332702138</v>
      </c>
      <c r="S39" s="322">
        <f t="shared" si="5"/>
        <v>52.57644793439372</v>
      </c>
      <c r="T39" s="322">
        <f t="shared" si="12"/>
        <v>52.57644793439372</v>
      </c>
      <c r="U39" s="322"/>
    </row>
    <row r="40" spans="1:21">
      <c r="A40" s="100">
        <v>29</v>
      </c>
      <c r="B40" s="101" t="s">
        <v>390</v>
      </c>
      <c r="C40" s="102">
        <f t="shared" si="7"/>
        <v>2839.8180000000002</v>
      </c>
      <c r="D40" s="103"/>
      <c r="E40" s="104">
        <v>2839.8180000000002</v>
      </c>
      <c r="F40" s="104">
        <f t="shared" si="8"/>
        <v>0</v>
      </c>
      <c r="G40" s="104"/>
      <c r="H40" s="104"/>
      <c r="I40" s="104">
        <f t="shared" si="2"/>
        <v>2811.1930000000002</v>
      </c>
      <c r="J40" s="103"/>
      <c r="K40" s="104">
        <v>2811.1930000000002</v>
      </c>
      <c r="L40" s="104">
        <f t="shared" si="3"/>
        <v>0</v>
      </c>
      <c r="M40" s="104"/>
      <c r="N40" s="104"/>
      <c r="O40" s="116"/>
      <c r="P40" s="116">
        <f t="shared" si="4"/>
        <v>98.992012868430308</v>
      </c>
      <c r="Q40" s="116"/>
      <c r="R40" s="116">
        <f t="shared" si="9"/>
        <v>98.992012868430294</v>
      </c>
      <c r="S40" s="322"/>
      <c r="T40" s="322"/>
      <c r="U40" s="322"/>
    </row>
    <row r="41" spans="1:21">
      <c r="A41" s="100">
        <v>30</v>
      </c>
      <c r="B41" s="101" t="s">
        <v>387</v>
      </c>
      <c r="C41" s="102">
        <f t="shared" si="7"/>
        <v>1781.769</v>
      </c>
      <c r="D41" s="103"/>
      <c r="E41" s="104">
        <v>1781.769</v>
      </c>
      <c r="F41" s="104">
        <f t="shared" si="8"/>
        <v>0</v>
      </c>
      <c r="G41" s="104"/>
      <c r="H41" s="104"/>
      <c r="I41" s="104">
        <f t="shared" si="2"/>
        <v>1781.769</v>
      </c>
      <c r="J41" s="103"/>
      <c r="K41" s="104">
        <v>1781.769</v>
      </c>
      <c r="L41" s="104">
        <f t="shared" si="3"/>
        <v>0</v>
      </c>
      <c r="M41" s="104"/>
      <c r="N41" s="104"/>
      <c r="O41" s="116"/>
      <c r="P41" s="116">
        <f t="shared" si="4"/>
        <v>100</v>
      </c>
      <c r="Q41" s="116"/>
      <c r="R41" s="116">
        <f t="shared" si="9"/>
        <v>100</v>
      </c>
      <c r="S41" s="322"/>
      <c r="T41" s="322"/>
      <c r="U41" s="322"/>
    </row>
    <row r="42" spans="1:21">
      <c r="A42" s="100">
        <v>31</v>
      </c>
      <c r="B42" s="101" t="s">
        <v>388</v>
      </c>
      <c r="C42" s="102">
        <f t="shared" si="7"/>
        <v>36</v>
      </c>
      <c r="D42" s="103"/>
      <c r="E42" s="104">
        <v>36</v>
      </c>
      <c r="F42" s="104">
        <f t="shared" si="8"/>
        <v>0</v>
      </c>
      <c r="G42" s="104"/>
      <c r="H42" s="104"/>
      <c r="I42" s="104">
        <f t="shared" si="2"/>
        <v>36</v>
      </c>
      <c r="J42" s="103"/>
      <c r="K42" s="104">
        <v>36</v>
      </c>
      <c r="L42" s="104">
        <f t="shared" si="3"/>
        <v>0</v>
      </c>
      <c r="M42" s="104"/>
      <c r="N42" s="104"/>
      <c r="O42" s="116"/>
      <c r="P42" s="116">
        <f t="shared" si="4"/>
        <v>100</v>
      </c>
      <c r="Q42" s="116"/>
      <c r="R42" s="116">
        <f t="shared" si="9"/>
        <v>100</v>
      </c>
      <c r="S42" s="322"/>
      <c r="T42" s="322"/>
      <c r="U42" s="322"/>
    </row>
    <row r="43" spans="1:21">
      <c r="A43" s="100">
        <v>32</v>
      </c>
      <c r="B43" s="101" t="s">
        <v>237</v>
      </c>
      <c r="C43" s="102">
        <f t="shared" si="7"/>
        <v>1000</v>
      </c>
      <c r="D43" s="103"/>
      <c r="E43" s="104">
        <v>1000</v>
      </c>
      <c r="F43" s="104">
        <f t="shared" si="8"/>
        <v>0</v>
      </c>
      <c r="G43" s="104"/>
      <c r="H43" s="104"/>
      <c r="I43" s="104">
        <f t="shared" si="2"/>
        <v>1000</v>
      </c>
      <c r="J43" s="103"/>
      <c r="K43" s="104">
        <v>1000</v>
      </c>
      <c r="L43" s="104">
        <f t="shared" si="3"/>
        <v>0</v>
      </c>
      <c r="M43" s="104"/>
      <c r="N43" s="104"/>
      <c r="O43" s="116"/>
      <c r="P43" s="116">
        <f t="shared" si="4"/>
        <v>100</v>
      </c>
      <c r="Q43" s="116"/>
      <c r="R43" s="116">
        <f t="shared" si="9"/>
        <v>100</v>
      </c>
      <c r="S43" s="322"/>
      <c r="T43" s="322"/>
      <c r="U43" s="322"/>
    </row>
    <row r="44" spans="1:21">
      <c r="A44" s="100">
        <v>33</v>
      </c>
      <c r="B44" s="101" t="s">
        <v>238</v>
      </c>
      <c r="C44" s="102">
        <f t="shared" si="7"/>
        <v>35</v>
      </c>
      <c r="D44" s="103"/>
      <c r="E44" s="104">
        <v>35</v>
      </c>
      <c r="F44" s="104">
        <f t="shared" si="8"/>
        <v>0</v>
      </c>
      <c r="G44" s="104"/>
      <c r="H44" s="104"/>
      <c r="I44" s="104">
        <f t="shared" si="2"/>
        <v>35</v>
      </c>
      <c r="J44" s="103"/>
      <c r="K44" s="104">
        <v>35</v>
      </c>
      <c r="L44" s="104">
        <f t="shared" si="3"/>
        <v>0</v>
      </c>
      <c r="M44" s="104"/>
      <c r="N44" s="104"/>
      <c r="O44" s="116"/>
      <c r="P44" s="116">
        <f t="shared" si="4"/>
        <v>100</v>
      </c>
      <c r="Q44" s="116"/>
      <c r="R44" s="116">
        <f t="shared" si="9"/>
        <v>100</v>
      </c>
      <c r="S44" s="322"/>
      <c r="T44" s="322"/>
      <c r="U44" s="322"/>
    </row>
    <row r="45" spans="1:21">
      <c r="A45" s="100">
        <v>34</v>
      </c>
      <c r="B45" s="101" t="s">
        <v>239</v>
      </c>
      <c r="C45" s="102">
        <f t="shared" si="7"/>
        <v>554.76</v>
      </c>
      <c r="D45" s="103"/>
      <c r="E45" s="104">
        <v>554.76</v>
      </c>
      <c r="F45" s="104">
        <f t="shared" si="8"/>
        <v>0</v>
      </c>
      <c r="G45" s="104"/>
      <c r="H45" s="104"/>
      <c r="I45" s="104">
        <f t="shared" si="2"/>
        <v>554.76</v>
      </c>
      <c r="J45" s="103"/>
      <c r="K45" s="104">
        <v>554.76</v>
      </c>
      <c r="L45" s="104">
        <f t="shared" si="3"/>
        <v>0</v>
      </c>
      <c r="M45" s="104"/>
      <c r="N45" s="104"/>
      <c r="O45" s="116"/>
      <c r="P45" s="116">
        <f t="shared" si="4"/>
        <v>100</v>
      </c>
      <c r="Q45" s="116"/>
      <c r="R45" s="116">
        <f t="shared" si="9"/>
        <v>100</v>
      </c>
      <c r="S45" s="322"/>
      <c r="T45" s="322"/>
      <c r="U45" s="322"/>
    </row>
    <row r="46" spans="1:21">
      <c r="A46" s="100">
        <v>35</v>
      </c>
      <c r="B46" s="101" t="s">
        <v>432</v>
      </c>
      <c r="C46" s="102">
        <f t="shared" si="7"/>
        <v>6236.6269540000003</v>
      </c>
      <c r="D46" s="103"/>
      <c r="E46" s="104">
        <v>6236.6269540000003</v>
      </c>
      <c r="F46" s="104">
        <f t="shared" si="8"/>
        <v>0</v>
      </c>
      <c r="G46" s="104"/>
      <c r="H46" s="104"/>
      <c r="I46" s="104">
        <f t="shared" si="2"/>
        <v>5845.4667179999997</v>
      </c>
      <c r="J46" s="103"/>
      <c r="K46" s="104">
        <v>5845.4667179999997</v>
      </c>
      <c r="L46" s="104">
        <f t="shared" si="3"/>
        <v>0</v>
      </c>
      <c r="M46" s="104"/>
      <c r="N46" s="104"/>
      <c r="O46" s="116">
        <v>379.99023599999998</v>
      </c>
      <c r="P46" s="116">
        <f t="shared" si="4"/>
        <v>93.728016139411366</v>
      </c>
      <c r="Q46" s="116"/>
      <c r="R46" s="116">
        <f t="shared" si="9"/>
        <v>93.728016139411366</v>
      </c>
      <c r="S46" s="322"/>
      <c r="T46" s="322"/>
      <c r="U46" s="322"/>
    </row>
    <row r="47" spans="1:21">
      <c r="A47" s="100">
        <v>36</v>
      </c>
      <c r="B47" s="101" t="s">
        <v>433</v>
      </c>
      <c r="C47" s="102">
        <f t="shared" si="7"/>
        <v>5392.9936850000004</v>
      </c>
      <c r="D47" s="103"/>
      <c r="E47" s="104">
        <v>5392.9936850000004</v>
      </c>
      <c r="F47" s="104">
        <f t="shared" si="8"/>
        <v>0</v>
      </c>
      <c r="G47" s="104"/>
      <c r="H47" s="104"/>
      <c r="I47" s="104">
        <f t="shared" si="2"/>
        <v>5379.7136849999997</v>
      </c>
      <c r="J47" s="103"/>
      <c r="K47" s="104">
        <v>5379.7136849999997</v>
      </c>
      <c r="L47" s="104">
        <f t="shared" si="3"/>
        <v>0</v>
      </c>
      <c r="M47" s="104"/>
      <c r="N47" s="104"/>
      <c r="O47" s="116">
        <v>1.25</v>
      </c>
      <c r="P47" s="116">
        <f t="shared" si="4"/>
        <v>99.753754579076599</v>
      </c>
      <c r="Q47" s="116"/>
      <c r="R47" s="116">
        <f t="shared" si="9"/>
        <v>99.753754579076599</v>
      </c>
      <c r="S47" s="322"/>
      <c r="T47" s="322"/>
      <c r="U47" s="322"/>
    </row>
    <row r="48" spans="1:21">
      <c r="A48" s="100">
        <v>37</v>
      </c>
      <c r="B48" s="101" t="s">
        <v>434</v>
      </c>
      <c r="C48" s="102">
        <f t="shared" si="7"/>
        <v>5790.1967619999996</v>
      </c>
      <c r="D48" s="103"/>
      <c r="E48" s="104">
        <v>5790.1967619999996</v>
      </c>
      <c r="F48" s="104">
        <f t="shared" si="8"/>
        <v>0</v>
      </c>
      <c r="G48" s="104"/>
      <c r="H48" s="104"/>
      <c r="I48" s="104">
        <f t="shared" si="2"/>
        <v>5786.216762</v>
      </c>
      <c r="J48" s="103"/>
      <c r="K48" s="104">
        <v>5786.216762</v>
      </c>
      <c r="L48" s="104">
        <f t="shared" si="3"/>
        <v>0</v>
      </c>
      <c r="M48" s="104"/>
      <c r="N48" s="104"/>
      <c r="O48" s="116">
        <v>2.63</v>
      </c>
      <c r="P48" s="116">
        <f t="shared" si="4"/>
        <v>99.931263130363376</v>
      </c>
      <c r="Q48" s="116"/>
      <c r="R48" s="116">
        <f t="shared" si="9"/>
        <v>99.931263130363391</v>
      </c>
      <c r="S48" s="322"/>
      <c r="T48" s="322"/>
      <c r="U48" s="322"/>
    </row>
    <row r="49" spans="1:21">
      <c r="A49" s="100">
        <v>38</v>
      </c>
      <c r="B49" s="101" t="s">
        <v>435</v>
      </c>
      <c r="C49" s="102">
        <f t="shared" si="7"/>
        <v>2545.6824419999998</v>
      </c>
      <c r="D49" s="103"/>
      <c r="E49" s="104">
        <v>2545.6824419999998</v>
      </c>
      <c r="F49" s="104">
        <f t="shared" si="8"/>
        <v>0</v>
      </c>
      <c r="G49" s="104"/>
      <c r="H49" s="104"/>
      <c r="I49" s="104">
        <f t="shared" si="2"/>
        <v>2540.732442</v>
      </c>
      <c r="J49" s="103"/>
      <c r="K49" s="104">
        <v>2540.732442</v>
      </c>
      <c r="L49" s="104">
        <f t="shared" si="3"/>
        <v>0</v>
      </c>
      <c r="M49" s="104"/>
      <c r="N49" s="104"/>
      <c r="O49" s="116">
        <v>2.7</v>
      </c>
      <c r="P49" s="116">
        <f t="shared" si="4"/>
        <v>99.805553123267373</v>
      </c>
      <c r="Q49" s="116"/>
      <c r="R49" s="116">
        <f t="shared" si="9"/>
        <v>99.805553123267387</v>
      </c>
      <c r="S49" s="322"/>
      <c r="T49" s="322"/>
      <c r="U49" s="322"/>
    </row>
    <row r="50" spans="1:21">
      <c r="A50" s="100">
        <v>39</v>
      </c>
      <c r="B50" s="101" t="s">
        <v>436</v>
      </c>
      <c r="C50" s="102">
        <f t="shared" si="7"/>
        <v>1833.713162</v>
      </c>
      <c r="D50" s="103"/>
      <c r="E50" s="104">
        <v>1833.713162</v>
      </c>
      <c r="F50" s="104">
        <f t="shared" si="8"/>
        <v>0</v>
      </c>
      <c r="G50" s="104"/>
      <c r="H50" s="104"/>
      <c r="I50" s="104">
        <f t="shared" si="2"/>
        <v>1826.4889740000001</v>
      </c>
      <c r="J50" s="103"/>
      <c r="K50" s="104">
        <v>1826.4889740000001</v>
      </c>
      <c r="L50" s="104">
        <f t="shared" si="3"/>
        <v>0</v>
      </c>
      <c r="M50" s="104"/>
      <c r="N50" s="104"/>
      <c r="O50" s="116">
        <v>7.214188</v>
      </c>
      <c r="P50" s="116">
        <f t="shared" si="4"/>
        <v>99.606035003199693</v>
      </c>
      <c r="Q50" s="116"/>
      <c r="R50" s="116">
        <f t="shared" si="9"/>
        <v>99.606035003199693</v>
      </c>
      <c r="S50" s="322"/>
      <c r="T50" s="322"/>
      <c r="U50" s="322"/>
    </row>
    <row r="51" spans="1:21">
      <c r="A51" s="100">
        <v>40</v>
      </c>
      <c r="B51" s="101" t="s">
        <v>437</v>
      </c>
      <c r="C51" s="102">
        <f t="shared" si="7"/>
        <v>2119.2533830000002</v>
      </c>
      <c r="D51" s="103"/>
      <c r="E51" s="104">
        <v>2119.2533830000002</v>
      </c>
      <c r="F51" s="104">
        <f t="shared" si="8"/>
        <v>0</v>
      </c>
      <c r="G51" s="104"/>
      <c r="H51" s="104"/>
      <c r="I51" s="104">
        <f t="shared" si="2"/>
        <v>2108.2133829999998</v>
      </c>
      <c r="J51" s="103"/>
      <c r="K51" s="104">
        <v>2108.2133829999998</v>
      </c>
      <c r="L51" s="104">
        <f t="shared" si="3"/>
        <v>0</v>
      </c>
      <c r="M51" s="104"/>
      <c r="N51" s="104"/>
      <c r="O51" s="116">
        <f>640000/1000000</f>
        <v>0.64</v>
      </c>
      <c r="P51" s="116">
        <f t="shared" si="4"/>
        <v>99.479061820140998</v>
      </c>
      <c r="Q51" s="116"/>
      <c r="R51" s="116">
        <f t="shared" si="9"/>
        <v>99.479061820140998</v>
      </c>
      <c r="S51" s="322"/>
      <c r="T51" s="322"/>
      <c r="U51" s="322"/>
    </row>
    <row r="52" spans="1:21">
      <c r="A52" s="100">
        <v>41</v>
      </c>
      <c r="B52" s="101" t="s">
        <v>438</v>
      </c>
      <c r="C52" s="102">
        <f t="shared" si="7"/>
        <v>2092.3984</v>
      </c>
      <c r="D52" s="103"/>
      <c r="E52" s="104">
        <v>2092.3984</v>
      </c>
      <c r="F52" s="104">
        <f t="shared" si="8"/>
        <v>0</v>
      </c>
      <c r="G52" s="104"/>
      <c r="H52" s="104"/>
      <c r="I52" s="104">
        <f t="shared" si="2"/>
        <v>2088.9983999999999</v>
      </c>
      <c r="J52" s="103"/>
      <c r="K52" s="104">
        <v>2088.9983999999999</v>
      </c>
      <c r="L52" s="104">
        <f t="shared" si="3"/>
        <v>0</v>
      </c>
      <c r="M52" s="104"/>
      <c r="N52" s="104"/>
      <c r="O52" s="116">
        <v>1.8</v>
      </c>
      <c r="P52" s="116">
        <f t="shared" si="4"/>
        <v>99.837507044547536</v>
      </c>
      <c r="Q52" s="116"/>
      <c r="R52" s="116">
        <f t="shared" si="9"/>
        <v>99.837507044547536</v>
      </c>
      <c r="S52" s="322"/>
      <c r="T52" s="322"/>
      <c r="U52" s="322"/>
    </row>
    <row r="53" spans="1:21">
      <c r="A53" s="100">
        <v>42</v>
      </c>
      <c r="B53" s="101" t="s">
        <v>439</v>
      </c>
      <c r="C53" s="102">
        <f t="shared" si="7"/>
        <v>2480.0204950000002</v>
      </c>
      <c r="D53" s="103"/>
      <c r="E53" s="104">
        <v>2480.0204950000002</v>
      </c>
      <c r="F53" s="104">
        <f t="shared" si="8"/>
        <v>0</v>
      </c>
      <c r="G53" s="104"/>
      <c r="H53" s="104"/>
      <c r="I53" s="104">
        <f t="shared" si="2"/>
        <v>2464.9342299999998</v>
      </c>
      <c r="J53" s="103"/>
      <c r="K53" s="104">
        <v>2464.9342299999998</v>
      </c>
      <c r="L53" s="104">
        <f t="shared" si="3"/>
        <v>0</v>
      </c>
      <c r="M53" s="104"/>
      <c r="N53" s="104"/>
      <c r="O53" s="116">
        <v>8.9862649999999995</v>
      </c>
      <c r="P53" s="116">
        <f t="shared" si="4"/>
        <v>99.391687890063167</v>
      </c>
      <c r="Q53" s="116"/>
      <c r="R53" s="116">
        <f t="shared" si="9"/>
        <v>99.391687890063167</v>
      </c>
      <c r="S53" s="322"/>
      <c r="T53" s="322"/>
      <c r="U53" s="322"/>
    </row>
    <row r="54" spans="1:21">
      <c r="A54" s="100">
        <v>43</v>
      </c>
      <c r="B54" s="101" t="s">
        <v>440</v>
      </c>
      <c r="C54" s="102">
        <f t="shared" si="7"/>
        <v>2234.189558</v>
      </c>
      <c r="D54" s="103"/>
      <c r="E54" s="104">
        <v>2234.189558</v>
      </c>
      <c r="F54" s="104">
        <f t="shared" si="8"/>
        <v>0</v>
      </c>
      <c r="G54" s="104"/>
      <c r="H54" s="104"/>
      <c r="I54" s="104">
        <f t="shared" si="2"/>
        <v>2214.897833</v>
      </c>
      <c r="J54" s="103"/>
      <c r="K54" s="104">
        <v>2214.897833</v>
      </c>
      <c r="L54" s="104">
        <f t="shared" si="3"/>
        <v>0</v>
      </c>
      <c r="M54" s="104"/>
      <c r="N54" s="104"/>
      <c r="O54" s="116">
        <v>14.455724999999999</v>
      </c>
      <c r="P54" s="116">
        <f t="shared" si="4"/>
        <v>99.136522461537709</v>
      </c>
      <c r="Q54" s="116"/>
      <c r="R54" s="116">
        <f t="shared" si="9"/>
        <v>99.136522461537709</v>
      </c>
      <c r="S54" s="322"/>
      <c r="T54" s="322"/>
      <c r="U54" s="322"/>
    </row>
    <row r="55" spans="1:21">
      <c r="A55" s="100">
        <v>44</v>
      </c>
      <c r="B55" s="101" t="s">
        <v>441</v>
      </c>
      <c r="C55" s="102">
        <f t="shared" si="7"/>
        <v>3580.479554</v>
      </c>
      <c r="D55" s="103"/>
      <c r="E55" s="104">
        <v>3580.479554</v>
      </c>
      <c r="F55" s="104">
        <f t="shared" si="8"/>
        <v>0</v>
      </c>
      <c r="G55" s="104"/>
      <c r="H55" s="104"/>
      <c r="I55" s="104">
        <f t="shared" si="2"/>
        <v>3566.3695539999999</v>
      </c>
      <c r="J55" s="103"/>
      <c r="K55" s="104">
        <v>3566.3695539999999</v>
      </c>
      <c r="L55" s="104">
        <f t="shared" si="3"/>
        <v>0</v>
      </c>
      <c r="M55" s="104"/>
      <c r="N55" s="104"/>
      <c r="O55" s="116">
        <v>12.04</v>
      </c>
      <c r="P55" s="116">
        <f t="shared" si="4"/>
        <v>99.605918710407465</v>
      </c>
      <c r="Q55" s="116"/>
      <c r="R55" s="116">
        <f t="shared" si="9"/>
        <v>99.605918710407465</v>
      </c>
      <c r="S55" s="322"/>
      <c r="T55" s="322"/>
      <c r="U55" s="322"/>
    </row>
    <row r="56" spans="1:21">
      <c r="A56" s="100">
        <v>45</v>
      </c>
      <c r="B56" s="101" t="s">
        <v>442</v>
      </c>
      <c r="C56" s="102">
        <f t="shared" si="7"/>
        <v>3612.2953389999998</v>
      </c>
      <c r="D56" s="103"/>
      <c r="E56" s="104">
        <v>3612.2953389999998</v>
      </c>
      <c r="F56" s="104">
        <f t="shared" si="8"/>
        <v>0</v>
      </c>
      <c r="G56" s="104"/>
      <c r="H56" s="104"/>
      <c r="I56" s="104">
        <f t="shared" si="2"/>
        <v>3603.1026900000002</v>
      </c>
      <c r="J56" s="103"/>
      <c r="K56" s="104">
        <v>3603.1026900000002</v>
      </c>
      <c r="L56" s="104">
        <f t="shared" si="3"/>
        <v>0</v>
      </c>
      <c r="M56" s="104"/>
      <c r="N56" s="104"/>
      <c r="O56" s="116">
        <v>7.5926489999999998</v>
      </c>
      <c r="P56" s="116">
        <f t="shared" si="4"/>
        <v>99.745517790288304</v>
      </c>
      <c r="Q56" s="116"/>
      <c r="R56" s="116">
        <f t="shared" si="9"/>
        <v>99.745517790288304</v>
      </c>
      <c r="S56" s="322"/>
      <c r="T56" s="322"/>
      <c r="U56" s="322"/>
    </row>
    <row r="57" spans="1:21">
      <c r="A57" s="100">
        <v>46</v>
      </c>
      <c r="B57" s="101" t="s">
        <v>443</v>
      </c>
      <c r="C57" s="102">
        <f t="shared" si="7"/>
        <v>6658.6925590000001</v>
      </c>
      <c r="D57" s="103"/>
      <c r="E57" s="104">
        <v>6658.6925590000001</v>
      </c>
      <c r="F57" s="104">
        <f t="shared" si="8"/>
        <v>0</v>
      </c>
      <c r="G57" s="104"/>
      <c r="H57" s="104"/>
      <c r="I57" s="104">
        <f t="shared" si="2"/>
        <v>6590.0966449999996</v>
      </c>
      <c r="J57" s="103"/>
      <c r="K57" s="104">
        <v>6590.0966449999996</v>
      </c>
      <c r="L57" s="104">
        <f t="shared" si="3"/>
        <v>0</v>
      </c>
      <c r="M57" s="104"/>
      <c r="N57" s="104"/>
      <c r="O57" s="116">
        <v>63.595914</v>
      </c>
      <c r="P57" s="116">
        <f t="shared" si="4"/>
        <v>98.969829085932417</v>
      </c>
      <c r="Q57" s="116"/>
      <c r="R57" s="116">
        <f t="shared" si="9"/>
        <v>98.969829085932403</v>
      </c>
      <c r="S57" s="322"/>
      <c r="T57" s="322"/>
      <c r="U57" s="322"/>
    </row>
    <row r="58" spans="1:21">
      <c r="A58" s="100">
        <v>47</v>
      </c>
      <c r="B58" s="101" t="s">
        <v>444</v>
      </c>
      <c r="C58" s="102">
        <f t="shared" si="7"/>
        <v>8585.9239720000005</v>
      </c>
      <c r="D58" s="103"/>
      <c r="E58" s="104">
        <v>8585.9239720000005</v>
      </c>
      <c r="F58" s="104">
        <f t="shared" si="8"/>
        <v>0</v>
      </c>
      <c r="G58" s="104"/>
      <c r="H58" s="104"/>
      <c r="I58" s="104">
        <f t="shared" si="2"/>
        <v>8517.670811</v>
      </c>
      <c r="J58" s="103"/>
      <c r="K58" s="104">
        <v>8517.670811</v>
      </c>
      <c r="L58" s="104">
        <f t="shared" si="3"/>
        <v>0</v>
      </c>
      <c r="M58" s="104"/>
      <c r="N58" s="104"/>
      <c r="O58" s="116">
        <v>31.912161000000001</v>
      </c>
      <c r="P58" s="116">
        <f t="shared" si="4"/>
        <v>99.205057472875552</v>
      </c>
      <c r="Q58" s="116"/>
      <c r="R58" s="116">
        <f t="shared" si="9"/>
        <v>99.205057472875552</v>
      </c>
      <c r="S58" s="322"/>
      <c r="T58" s="322"/>
      <c r="U58" s="322"/>
    </row>
    <row r="59" spans="1:21">
      <c r="A59" s="100">
        <v>48</v>
      </c>
      <c r="B59" s="101" t="s">
        <v>344</v>
      </c>
      <c r="C59" s="102">
        <f t="shared" si="7"/>
        <v>8730.0461699999996</v>
      </c>
      <c r="D59" s="103"/>
      <c r="E59" s="104">
        <v>8730.0461699999996</v>
      </c>
      <c r="F59" s="104">
        <f t="shared" si="8"/>
        <v>0</v>
      </c>
      <c r="G59" s="104"/>
      <c r="H59" s="104"/>
      <c r="I59" s="104">
        <f t="shared" si="2"/>
        <v>8683.1938489999993</v>
      </c>
      <c r="J59" s="103"/>
      <c r="K59" s="104">
        <v>8683.1938489999993</v>
      </c>
      <c r="L59" s="104">
        <f t="shared" si="3"/>
        <v>0</v>
      </c>
      <c r="M59" s="104"/>
      <c r="N59" s="104"/>
      <c r="O59" s="116">
        <v>44.617320999999997</v>
      </c>
      <c r="P59" s="116">
        <f t="shared" si="4"/>
        <v>99.463321039916096</v>
      </c>
      <c r="Q59" s="116"/>
      <c r="R59" s="116">
        <f t="shared" si="9"/>
        <v>99.463321039916096</v>
      </c>
      <c r="S59" s="322"/>
      <c r="T59" s="322"/>
      <c r="U59" s="322"/>
    </row>
    <row r="60" spans="1:21">
      <c r="A60" s="100">
        <v>49</v>
      </c>
      <c r="B60" s="101" t="s">
        <v>453</v>
      </c>
      <c r="C60" s="102">
        <f t="shared" si="7"/>
        <v>4073.6362100000001</v>
      </c>
      <c r="D60" s="103"/>
      <c r="E60" s="104">
        <v>4073.6362100000001</v>
      </c>
      <c r="F60" s="104"/>
      <c r="G60" s="104"/>
      <c r="H60" s="104"/>
      <c r="I60" s="104">
        <f t="shared" si="2"/>
        <v>4073.6362100000001</v>
      </c>
      <c r="J60" s="103"/>
      <c r="K60" s="104">
        <v>4073.6362100000001</v>
      </c>
      <c r="L60" s="104"/>
      <c r="M60" s="104"/>
      <c r="N60" s="104"/>
      <c r="O60" s="116">
        <v>45.617320999999997</v>
      </c>
      <c r="P60" s="116">
        <f t="shared" si="4"/>
        <v>100</v>
      </c>
      <c r="Q60" s="116"/>
      <c r="R60" s="116">
        <f t="shared" ref="R60" si="17">K60/E60%</f>
        <v>100</v>
      </c>
      <c r="S60" s="322"/>
      <c r="T60" s="322"/>
      <c r="U60" s="322"/>
    </row>
    <row r="61" spans="1:21">
      <c r="A61" s="100">
        <v>50</v>
      </c>
      <c r="B61" s="101" t="s">
        <v>240</v>
      </c>
      <c r="C61" s="102">
        <f t="shared" si="7"/>
        <v>5383.0972609999999</v>
      </c>
      <c r="D61" s="103"/>
      <c r="E61" s="104">
        <v>5383.0972609999999</v>
      </c>
      <c r="F61" s="104">
        <f t="shared" si="8"/>
        <v>0</v>
      </c>
      <c r="G61" s="104"/>
      <c r="H61" s="104"/>
      <c r="I61" s="104">
        <f t="shared" si="2"/>
        <v>5334.4025160000001</v>
      </c>
      <c r="J61" s="103"/>
      <c r="K61" s="104">
        <v>5334.4025160000001</v>
      </c>
      <c r="L61" s="104">
        <f t="shared" si="3"/>
        <v>0</v>
      </c>
      <c r="M61" s="104"/>
      <c r="N61" s="104"/>
      <c r="O61" s="116">
        <v>42.694744999999998</v>
      </c>
      <c r="P61" s="116">
        <f t="shared" si="4"/>
        <v>99.095413984941558</v>
      </c>
      <c r="Q61" s="116"/>
      <c r="R61" s="116">
        <f t="shared" si="9"/>
        <v>99.095413984941572</v>
      </c>
      <c r="S61" s="322"/>
      <c r="T61" s="322"/>
      <c r="U61" s="322"/>
    </row>
    <row r="62" spans="1:21">
      <c r="A62" s="100">
        <v>51</v>
      </c>
      <c r="B62" s="101" t="s">
        <v>241</v>
      </c>
      <c r="C62" s="102">
        <f t="shared" si="7"/>
        <v>8259.9840559999993</v>
      </c>
      <c r="D62" s="103"/>
      <c r="E62" s="104">
        <v>8259.9840559999993</v>
      </c>
      <c r="F62" s="104">
        <f t="shared" si="8"/>
        <v>0</v>
      </c>
      <c r="G62" s="104"/>
      <c r="H62" s="104"/>
      <c r="I62" s="104">
        <f t="shared" si="2"/>
        <v>8191.8370070000001</v>
      </c>
      <c r="J62" s="103"/>
      <c r="K62" s="104">
        <v>8191.8370070000001</v>
      </c>
      <c r="L62" s="104">
        <f t="shared" si="3"/>
        <v>0</v>
      </c>
      <c r="M62" s="104"/>
      <c r="N62" s="104"/>
      <c r="O62" s="116">
        <v>68.147048999999996</v>
      </c>
      <c r="P62" s="116">
        <f t="shared" si="4"/>
        <v>99.174973601183922</v>
      </c>
      <c r="Q62" s="116"/>
      <c r="R62" s="116">
        <f t="shared" si="9"/>
        <v>99.174973601183922</v>
      </c>
      <c r="S62" s="322"/>
      <c r="T62" s="322"/>
      <c r="U62" s="322"/>
    </row>
    <row r="63" spans="1:21">
      <c r="A63" s="100">
        <v>52</v>
      </c>
      <c r="B63" s="101" t="s">
        <v>445</v>
      </c>
      <c r="C63" s="102">
        <f t="shared" si="7"/>
        <v>11248.580148999999</v>
      </c>
      <c r="D63" s="103"/>
      <c r="E63" s="104">
        <v>11248.580148999999</v>
      </c>
      <c r="F63" s="104">
        <f t="shared" si="8"/>
        <v>0</v>
      </c>
      <c r="G63" s="104"/>
      <c r="H63" s="104"/>
      <c r="I63" s="104">
        <f t="shared" si="2"/>
        <v>11166.424808</v>
      </c>
      <c r="J63" s="103"/>
      <c r="K63" s="104">
        <v>11166.424808</v>
      </c>
      <c r="L63" s="104">
        <f t="shared" si="3"/>
        <v>0</v>
      </c>
      <c r="M63" s="104"/>
      <c r="N63" s="104"/>
      <c r="O63" s="116">
        <v>43.895318000000003</v>
      </c>
      <c r="P63" s="116">
        <f t="shared" si="4"/>
        <v>99.269638123996458</v>
      </c>
      <c r="Q63" s="116"/>
      <c r="R63" s="116">
        <f t="shared" si="9"/>
        <v>99.269638123996444</v>
      </c>
      <c r="S63" s="322"/>
      <c r="T63" s="322"/>
      <c r="U63" s="322"/>
    </row>
    <row r="64" spans="1:21">
      <c r="A64" s="100">
        <v>53</v>
      </c>
      <c r="B64" s="101" t="s">
        <v>454</v>
      </c>
      <c r="C64" s="102">
        <f t="shared" si="7"/>
        <v>7301.1471199999996</v>
      </c>
      <c r="D64" s="103"/>
      <c r="E64" s="104">
        <v>7301.1471199999996</v>
      </c>
      <c r="F64" s="104">
        <f t="shared" si="8"/>
        <v>0</v>
      </c>
      <c r="G64" s="104"/>
      <c r="H64" s="104"/>
      <c r="I64" s="104">
        <f t="shared" si="2"/>
        <v>7279.31592</v>
      </c>
      <c r="J64" s="103"/>
      <c r="K64" s="104">
        <v>7279.31592</v>
      </c>
      <c r="L64" s="104">
        <f t="shared" si="3"/>
        <v>0</v>
      </c>
      <c r="M64" s="104"/>
      <c r="N64" s="104"/>
      <c r="O64" s="116">
        <v>20</v>
      </c>
      <c r="P64" s="116">
        <f t="shared" si="4"/>
        <v>99.700989452188992</v>
      </c>
      <c r="Q64" s="116"/>
      <c r="R64" s="116">
        <f t="shared" si="9"/>
        <v>99.700989452188978</v>
      </c>
      <c r="S64" s="322"/>
      <c r="T64" s="322"/>
      <c r="U64" s="322"/>
    </row>
    <row r="65" spans="1:21">
      <c r="A65" s="100">
        <v>54</v>
      </c>
      <c r="B65" s="101" t="s">
        <v>455</v>
      </c>
      <c r="C65" s="102">
        <f t="shared" si="7"/>
        <v>10172.405009</v>
      </c>
      <c r="D65" s="103"/>
      <c r="E65" s="104">
        <v>10172.405009</v>
      </c>
      <c r="F65" s="104">
        <f t="shared" si="8"/>
        <v>0</v>
      </c>
      <c r="G65" s="104"/>
      <c r="H65" s="104"/>
      <c r="I65" s="104">
        <f t="shared" si="2"/>
        <v>10147.754037999999</v>
      </c>
      <c r="J65" s="103"/>
      <c r="K65" s="104">
        <v>10147.754037999999</v>
      </c>
      <c r="L65" s="104">
        <f t="shared" si="3"/>
        <v>0</v>
      </c>
      <c r="M65" s="104"/>
      <c r="N65" s="104"/>
      <c r="O65" s="116">
        <v>24.650970999999998</v>
      </c>
      <c r="P65" s="116">
        <f t="shared" si="4"/>
        <v>99.757668211419116</v>
      </c>
      <c r="Q65" s="116"/>
      <c r="R65" s="116">
        <f t="shared" si="9"/>
        <v>99.757668211419116</v>
      </c>
      <c r="S65" s="322"/>
      <c r="T65" s="322"/>
      <c r="U65" s="322"/>
    </row>
    <row r="66" spans="1:21" ht="16.899999999999999" customHeight="1">
      <c r="A66" s="100">
        <v>55</v>
      </c>
      <c r="B66" s="101" t="s">
        <v>456</v>
      </c>
      <c r="C66" s="102">
        <f t="shared" si="7"/>
        <v>7259.3990450000001</v>
      </c>
      <c r="D66" s="103"/>
      <c r="E66" s="104">
        <v>7259.3990450000001</v>
      </c>
      <c r="F66" s="104">
        <f t="shared" si="8"/>
        <v>0</v>
      </c>
      <c r="G66" s="104"/>
      <c r="H66" s="104"/>
      <c r="I66" s="104">
        <f t="shared" si="2"/>
        <v>7233.1390449999999</v>
      </c>
      <c r="J66" s="103"/>
      <c r="K66" s="104">
        <v>7233.1390449999999</v>
      </c>
      <c r="L66" s="104">
        <f t="shared" si="3"/>
        <v>0</v>
      </c>
      <c r="M66" s="104"/>
      <c r="N66" s="104"/>
      <c r="O66" s="116">
        <v>26.26</v>
      </c>
      <c r="P66" s="116">
        <f t="shared" si="4"/>
        <v>99.63826206773841</v>
      </c>
      <c r="Q66" s="116"/>
      <c r="R66" s="116">
        <f t="shared" si="9"/>
        <v>99.63826206773841</v>
      </c>
      <c r="S66" s="322"/>
      <c r="T66" s="322"/>
      <c r="U66" s="322"/>
    </row>
    <row r="67" spans="1:21" ht="16.899999999999999" customHeight="1">
      <c r="A67" s="100">
        <v>56</v>
      </c>
      <c r="B67" s="101" t="s">
        <v>446</v>
      </c>
      <c r="C67" s="102">
        <f t="shared" si="7"/>
        <v>6503.7491540000001</v>
      </c>
      <c r="D67" s="103"/>
      <c r="E67" s="104">
        <v>6503.7491540000001</v>
      </c>
      <c r="F67" s="104">
        <f t="shared" si="8"/>
        <v>0</v>
      </c>
      <c r="G67" s="104"/>
      <c r="H67" s="104"/>
      <c r="I67" s="104">
        <f t="shared" si="2"/>
        <v>6476.279047</v>
      </c>
      <c r="J67" s="103"/>
      <c r="K67" s="104">
        <v>6476.279047</v>
      </c>
      <c r="L67" s="104">
        <f t="shared" si="3"/>
        <v>0</v>
      </c>
      <c r="M67" s="104"/>
      <c r="N67" s="104"/>
      <c r="O67" s="116">
        <v>27.470106999999999</v>
      </c>
      <c r="P67" s="116">
        <f t="shared" si="4"/>
        <v>99.577626591223847</v>
      </c>
      <c r="Q67" s="116"/>
      <c r="R67" s="116">
        <f t="shared" si="9"/>
        <v>99.577626591223833</v>
      </c>
      <c r="S67" s="322"/>
      <c r="T67" s="322"/>
      <c r="U67" s="322"/>
    </row>
    <row r="68" spans="1:21" ht="16.899999999999999" customHeight="1">
      <c r="A68" s="100">
        <v>57</v>
      </c>
      <c r="B68" s="101" t="s">
        <v>447</v>
      </c>
      <c r="C68" s="102">
        <f t="shared" si="7"/>
        <v>6281.3287520000003</v>
      </c>
      <c r="D68" s="103"/>
      <c r="E68" s="104">
        <v>6281.3287520000003</v>
      </c>
      <c r="F68" s="104">
        <f t="shared" si="8"/>
        <v>0</v>
      </c>
      <c r="G68" s="104"/>
      <c r="H68" s="104"/>
      <c r="I68" s="104">
        <f t="shared" si="2"/>
        <v>6257.6066259999998</v>
      </c>
      <c r="J68" s="103"/>
      <c r="K68" s="104">
        <v>6257.6066259999998</v>
      </c>
      <c r="L68" s="104">
        <f t="shared" si="3"/>
        <v>0</v>
      </c>
      <c r="M68" s="104"/>
      <c r="N68" s="104"/>
      <c r="O68" s="116">
        <v>23.722125999999999</v>
      </c>
      <c r="P68" s="116">
        <f t="shared" si="4"/>
        <v>99.622339047411785</v>
      </c>
      <c r="Q68" s="116"/>
      <c r="R68" s="116">
        <f t="shared" si="9"/>
        <v>99.622339047411785</v>
      </c>
      <c r="S68" s="322"/>
      <c r="T68" s="322"/>
      <c r="U68" s="322"/>
    </row>
    <row r="69" spans="1:21" ht="16.899999999999999" customHeight="1">
      <c r="A69" s="100">
        <v>58</v>
      </c>
      <c r="B69" s="101" t="s">
        <v>457</v>
      </c>
      <c r="C69" s="102">
        <f t="shared" si="7"/>
        <v>6342.2488460000004</v>
      </c>
      <c r="D69" s="103"/>
      <c r="E69" s="104">
        <v>6342.2488460000004</v>
      </c>
      <c r="F69" s="104">
        <f t="shared" si="8"/>
        <v>0</v>
      </c>
      <c r="G69" s="104"/>
      <c r="H69" s="104"/>
      <c r="I69" s="104">
        <f t="shared" si="2"/>
        <v>6312.186882</v>
      </c>
      <c r="J69" s="103"/>
      <c r="K69" s="104">
        <v>6312.186882</v>
      </c>
      <c r="L69" s="104">
        <f t="shared" si="3"/>
        <v>0</v>
      </c>
      <c r="M69" s="104"/>
      <c r="N69" s="104"/>
      <c r="O69" s="116">
        <v>23.133963999999999</v>
      </c>
      <c r="P69" s="116">
        <f t="shared" si="4"/>
        <v>99.526004659704256</v>
      </c>
      <c r="Q69" s="116"/>
      <c r="R69" s="116">
        <f t="shared" si="9"/>
        <v>99.526004659704256</v>
      </c>
      <c r="S69" s="322"/>
      <c r="T69" s="322"/>
      <c r="U69" s="322"/>
    </row>
    <row r="70" spans="1:21" ht="16.899999999999999" customHeight="1">
      <c r="A70" s="100">
        <v>59</v>
      </c>
      <c r="B70" s="101" t="s">
        <v>458</v>
      </c>
      <c r="C70" s="102">
        <f t="shared" si="7"/>
        <v>6825.3704100000004</v>
      </c>
      <c r="D70" s="103"/>
      <c r="E70" s="104">
        <v>6825.3704100000004</v>
      </c>
      <c r="F70" s="104">
        <f t="shared" si="8"/>
        <v>0</v>
      </c>
      <c r="G70" s="104"/>
      <c r="H70" s="104"/>
      <c r="I70" s="104">
        <f t="shared" si="2"/>
        <v>6790.0904099999998</v>
      </c>
      <c r="J70" s="103"/>
      <c r="K70" s="104">
        <v>6790.0904099999998</v>
      </c>
      <c r="L70" s="104">
        <f t="shared" si="3"/>
        <v>0</v>
      </c>
      <c r="M70" s="104"/>
      <c r="N70" s="104"/>
      <c r="O70" s="116">
        <v>35.28</v>
      </c>
      <c r="P70" s="116">
        <f t="shared" si="4"/>
        <v>99.483104976276294</v>
      </c>
      <c r="Q70" s="116"/>
      <c r="R70" s="116">
        <f t="shared" si="9"/>
        <v>99.48310497627628</v>
      </c>
      <c r="S70" s="322"/>
      <c r="T70" s="322"/>
      <c r="U70" s="322"/>
    </row>
    <row r="71" spans="1:21">
      <c r="A71" s="100">
        <v>60</v>
      </c>
      <c r="B71" s="101" t="s">
        <v>459</v>
      </c>
      <c r="C71" s="102">
        <f t="shared" si="7"/>
        <v>6670.816581</v>
      </c>
      <c r="D71" s="103"/>
      <c r="E71" s="104">
        <v>6670.816581</v>
      </c>
      <c r="F71" s="104">
        <f t="shared" si="8"/>
        <v>0</v>
      </c>
      <c r="G71" s="104"/>
      <c r="H71" s="104"/>
      <c r="I71" s="104">
        <f t="shared" si="2"/>
        <v>6586.1764839999996</v>
      </c>
      <c r="J71" s="103"/>
      <c r="K71" s="104">
        <v>6586.1764839999996</v>
      </c>
      <c r="L71" s="104">
        <f t="shared" si="3"/>
        <v>0</v>
      </c>
      <c r="M71" s="104"/>
      <c r="N71" s="104"/>
      <c r="O71" s="116">
        <v>84.640096999999997</v>
      </c>
      <c r="P71" s="116">
        <f t="shared" si="4"/>
        <v>98.731188363939211</v>
      </c>
      <c r="Q71" s="116"/>
      <c r="R71" s="116">
        <f t="shared" si="9"/>
        <v>98.731188363939211</v>
      </c>
      <c r="S71" s="322"/>
      <c r="T71" s="322"/>
      <c r="U71" s="322"/>
    </row>
    <row r="72" spans="1:21">
      <c r="A72" s="100">
        <v>61</v>
      </c>
      <c r="B72" s="101" t="s">
        <v>449</v>
      </c>
      <c r="C72" s="102">
        <f t="shared" si="7"/>
        <v>5441.32</v>
      </c>
      <c r="D72" s="103"/>
      <c r="E72" s="104">
        <v>304.26</v>
      </c>
      <c r="F72" s="104">
        <f t="shared" si="8"/>
        <v>5137.0599999999995</v>
      </c>
      <c r="G72" s="104">
        <v>5137.0599999999995</v>
      </c>
      <c r="H72" s="104"/>
      <c r="I72" s="104">
        <f t="shared" si="2"/>
        <v>2916.51584</v>
      </c>
      <c r="J72" s="103"/>
      <c r="K72" s="104">
        <v>304.26</v>
      </c>
      <c r="L72" s="104">
        <f t="shared" si="3"/>
        <v>2612.2558399999998</v>
      </c>
      <c r="M72" s="104">
        <v>2612.2558399999998</v>
      </c>
      <c r="N72" s="104"/>
      <c r="O72" s="116"/>
      <c r="P72" s="116">
        <f t="shared" ref="P72:P82" si="18">I72/C72*100</f>
        <v>53.599417788330769</v>
      </c>
      <c r="Q72" s="116"/>
      <c r="R72" s="116">
        <f t="shared" ref="R72:R82" si="19">K72/E72%</f>
        <v>100</v>
      </c>
      <c r="S72" s="322">
        <f t="shared" ref="S72:S82" si="20">L72/F72*100</f>
        <v>50.851184140344863</v>
      </c>
      <c r="T72" s="322">
        <f t="shared" ref="T72:T82" si="21">M72/G72%</f>
        <v>50.85118414034487</v>
      </c>
      <c r="U72" s="322"/>
    </row>
    <row r="73" spans="1:21">
      <c r="A73" s="100">
        <v>62</v>
      </c>
      <c r="B73" s="101" t="s">
        <v>246</v>
      </c>
      <c r="C73" s="102">
        <f t="shared" si="7"/>
        <v>5428.7284999999993</v>
      </c>
      <c r="D73" s="103">
        <v>14.858499999999999</v>
      </c>
      <c r="E73" s="104">
        <v>258.06</v>
      </c>
      <c r="F73" s="104">
        <f t="shared" si="8"/>
        <v>5155.8099999999995</v>
      </c>
      <c r="G73" s="104">
        <v>5155.8099999999995</v>
      </c>
      <c r="H73" s="104"/>
      <c r="I73" s="104">
        <f t="shared" si="2"/>
        <v>2689.2910000000002</v>
      </c>
      <c r="J73" s="103"/>
      <c r="K73" s="104">
        <v>242.88</v>
      </c>
      <c r="L73" s="104">
        <f t="shared" si="3"/>
        <v>2446.4110000000001</v>
      </c>
      <c r="M73" s="104">
        <v>2446.4110000000001</v>
      </c>
      <c r="N73" s="104"/>
      <c r="O73" s="116">
        <f>45000/1000000</f>
        <v>4.4999999999999998E-2</v>
      </c>
      <c r="P73" s="116">
        <f t="shared" si="18"/>
        <v>49.538137705726129</v>
      </c>
      <c r="Q73" s="116"/>
      <c r="R73" s="116">
        <f t="shared" si="19"/>
        <v>94.117647058823522</v>
      </c>
      <c r="S73" s="322">
        <f t="shared" si="20"/>
        <v>47.449595698832972</v>
      </c>
      <c r="T73" s="322">
        <f t="shared" si="21"/>
        <v>47.449595698832972</v>
      </c>
      <c r="U73" s="322"/>
    </row>
    <row r="74" spans="1:21">
      <c r="A74" s="100">
        <v>63</v>
      </c>
      <c r="B74" s="101" t="s">
        <v>450</v>
      </c>
      <c r="C74" s="102">
        <f t="shared" si="7"/>
        <v>7208.4629999999997</v>
      </c>
      <c r="D74" s="103">
        <v>1281.5129999999999</v>
      </c>
      <c r="E74" s="104">
        <v>319.44</v>
      </c>
      <c r="F74" s="104">
        <f t="shared" si="8"/>
        <v>5607.51</v>
      </c>
      <c r="G74" s="104">
        <v>5607.51</v>
      </c>
      <c r="H74" s="104"/>
      <c r="I74" s="104">
        <f t="shared" si="2"/>
        <v>5093.509</v>
      </c>
      <c r="J74" s="103">
        <v>1199.652</v>
      </c>
      <c r="K74" s="104">
        <v>319.44</v>
      </c>
      <c r="L74" s="104">
        <f t="shared" si="3"/>
        <v>3574.4170000000004</v>
      </c>
      <c r="M74" s="104">
        <v>3574.4170000000004</v>
      </c>
      <c r="N74" s="104"/>
      <c r="O74" s="116"/>
      <c r="P74" s="116">
        <f t="shared" si="18"/>
        <v>70.660125466413575</v>
      </c>
      <c r="Q74" s="116">
        <f t="shared" ref="Q74:Q82" si="22">J74/D74%</f>
        <v>93.612160001498239</v>
      </c>
      <c r="R74" s="116">
        <f t="shared" si="19"/>
        <v>100</v>
      </c>
      <c r="S74" s="322">
        <f t="shared" si="20"/>
        <v>63.743390560159504</v>
      </c>
      <c r="T74" s="322">
        <f t="shared" si="21"/>
        <v>63.743390560159511</v>
      </c>
      <c r="U74" s="322"/>
    </row>
    <row r="75" spans="1:21">
      <c r="A75" s="100">
        <v>64</v>
      </c>
      <c r="B75" s="101" t="s">
        <v>244</v>
      </c>
      <c r="C75" s="102">
        <f t="shared" si="7"/>
        <v>5645.6221610000002</v>
      </c>
      <c r="D75" s="103">
        <v>198.71216100000001</v>
      </c>
      <c r="E75" s="104">
        <v>333.3</v>
      </c>
      <c r="F75" s="104">
        <f t="shared" si="8"/>
        <v>5113.6100000000006</v>
      </c>
      <c r="G75" s="104">
        <v>5113.6100000000006</v>
      </c>
      <c r="H75" s="104"/>
      <c r="I75" s="104">
        <f t="shared" si="2"/>
        <v>1028.181</v>
      </c>
      <c r="J75" s="103"/>
      <c r="K75" s="104">
        <v>325.49</v>
      </c>
      <c r="L75" s="104">
        <f t="shared" si="3"/>
        <v>702.69100000000003</v>
      </c>
      <c r="M75" s="104">
        <v>702.69100000000003</v>
      </c>
      <c r="N75" s="104"/>
      <c r="O75" s="116">
        <v>6.1224999999999996</v>
      </c>
      <c r="P75" s="116">
        <f t="shared" si="18"/>
        <v>18.21200517283431</v>
      </c>
      <c r="Q75" s="116"/>
      <c r="R75" s="116">
        <f t="shared" si="19"/>
        <v>97.656765676567659</v>
      </c>
      <c r="S75" s="322">
        <f t="shared" si="20"/>
        <v>13.741583734387252</v>
      </c>
      <c r="T75" s="322">
        <f t="shared" si="21"/>
        <v>13.741583734387252</v>
      </c>
      <c r="U75" s="322"/>
    </row>
    <row r="76" spans="1:21">
      <c r="A76" s="100">
        <v>65</v>
      </c>
      <c r="B76" s="101" t="s">
        <v>448</v>
      </c>
      <c r="C76" s="102">
        <f t="shared" si="7"/>
        <v>5902.08</v>
      </c>
      <c r="D76" s="103">
        <v>16.7</v>
      </c>
      <c r="E76" s="104">
        <v>259.38</v>
      </c>
      <c r="F76" s="104">
        <f t="shared" si="8"/>
        <v>5626</v>
      </c>
      <c r="G76" s="104">
        <v>5626</v>
      </c>
      <c r="H76" s="104"/>
      <c r="I76" s="104">
        <f t="shared" si="2"/>
        <v>2501.3910000000001</v>
      </c>
      <c r="J76" s="103"/>
      <c r="K76" s="104">
        <v>251.46</v>
      </c>
      <c r="L76" s="104">
        <f t="shared" si="3"/>
        <v>2249.931</v>
      </c>
      <c r="M76" s="104">
        <v>2249.931</v>
      </c>
      <c r="N76" s="104"/>
      <c r="O76" s="116">
        <v>7.92</v>
      </c>
      <c r="P76" s="116">
        <f t="shared" si="18"/>
        <v>42.381516346779442</v>
      </c>
      <c r="Q76" s="116"/>
      <c r="R76" s="116">
        <f t="shared" si="19"/>
        <v>96.946564885496187</v>
      </c>
      <c r="S76" s="322">
        <f t="shared" si="20"/>
        <v>39.991663704230362</v>
      </c>
      <c r="T76" s="322">
        <f t="shared" si="21"/>
        <v>39.991663704230362</v>
      </c>
      <c r="U76" s="322"/>
    </row>
    <row r="77" spans="1:21">
      <c r="A77" s="100">
        <v>66</v>
      </c>
      <c r="B77" s="101" t="s">
        <v>249</v>
      </c>
      <c r="C77" s="102">
        <f t="shared" si="7"/>
        <v>5145.1359999999995</v>
      </c>
      <c r="D77" s="103">
        <v>11.816000000000001</v>
      </c>
      <c r="E77" s="104">
        <v>139.91999999999999</v>
      </c>
      <c r="F77" s="104">
        <f t="shared" si="8"/>
        <v>4993.3999999999996</v>
      </c>
      <c r="G77" s="104">
        <v>4993.3999999999996</v>
      </c>
      <c r="H77" s="104"/>
      <c r="I77" s="104">
        <f t="shared" ref="I77:I82" si="23">J77+K77+L77</f>
        <v>3067.2435</v>
      </c>
      <c r="J77" s="103">
        <v>11.5</v>
      </c>
      <c r="K77" s="104">
        <v>129.36000000000001</v>
      </c>
      <c r="L77" s="104">
        <f t="shared" ref="L77:L82" si="24">M77+N77</f>
        <v>2926.3834999999999</v>
      </c>
      <c r="M77" s="104">
        <v>2926.3834999999999</v>
      </c>
      <c r="N77" s="104"/>
      <c r="O77" s="116">
        <v>10.56</v>
      </c>
      <c r="P77" s="116">
        <f t="shared" si="18"/>
        <v>59.614430017010243</v>
      </c>
      <c r="Q77" s="116">
        <f t="shared" si="22"/>
        <v>97.325660121868651</v>
      </c>
      <c r="R77" s="116">
        <f t="shared" si="19"/>
        <v>92.452830188679272</v>
      </c>
      <c r="S77" s="322">
        <f t="shared" si="20"/>
        <v>58.605028637801901</v>
      </c>
      <c r="T77" s="322">
        <f t="shared" si="21"/>
        <v>58.605028637801901</v>
      </c>
      <c r="U77" s="322"/>
    </row>
    <row r="78" spans="1:21">
      <c r="A78" s="100">
        <v>67</v>
      </c>
      <c r="B78" s="101" t="s">
        <v>252</v>
      </c>
      <c r="C78" s="102">
        <f t="shared" ref="C78:C82" si="25">D78+E78+F78</f>
        <v>5506.3</v>
      </c>
      <c r="D78" s="103"/>
      <c r="E78" s="104">
        <v>172.26</v>
      </c>
      <c r="F78" s="104">
        <f t="shared" ref="F78:F82" si="26">G78+H78</f>
        <v>5334.04</v>
      </c>
      <c r="G78" s="104">
        <v>5334.04</v>
      </c>
      <c r="H78" s="104"/>
      <c r="I78" s="104">
        <f t="shared" si="23"/>
        <v>2558.9732000000004</v>
      </c>
      <c r="J78" s="103"/>
      <c r="K78" s="104">
        <v>172.26</v>
      </c>
      <c r="L78" s="104">
        <f t="shared" si="24"/>
        <v>2386.7132000000001</v>
      </c>
      <c r="M78" s="104">
        <v>2386.7132000000001</v>
      </c>
      <c r="N78" s="104"/>
      <c r="O78" s="116"/>
      <c r="P78" s="116">
        <f t="shared" si="18"/>
        <v>46.473552113034167</v>
      </c>
      <c r="Q78" s="116"/>
      <c r="R78" s="116">
        <f t="shared" si="19"/>
        <v>100</v>
      </c>
      <c r="S78" s="322">
        <f t="shared" si="20"/>
        <v>44.744943794947176</v>
      </c>
      <c r="T78" s="322">
        <f t="shared" si="21"/>
        <v>44.744943794947169</v>
      </c>
      <c r="U78" s="322"/>
    </row>
    <row r="79" spans="1:21">
      <c r="A79" s="100">
        <v>68</v>
      </c>
      <c r="B79" s="101" t="s">
        <v>451</v>
      </c>
      <c r="C79" s="102">
        <f t="shared" si="25"/>
        <v>6033.04</v>
      </c>
      <c r="D79" s="103">
        <v>71.7</v>
      </c>
      <c r="E79" s="104">
        <v>206.58</v>
      </c>
      <c r="F79" s="104">
        <f t="shared" si="26"/>
        <v>5754.76</v>
      </c>
      <c r="G79" s="104">
        <v>5754.76</v>
      </c>
      <c r="H79" s="104"/>
      <c r="I79" s="104">
        <f t="shared" si="23"/>
        <v>3242.9372889999995</v>
      </c>
      <c r="J79" s="103"/>
      <c r="K79" s="104">
        <v>206.58</v>
      </c>
      <c r="L79" s="104">
        <f t="shared" si="24"/>
        <v>3036.3572889999996</v>
      </c>
      <c r="M79" s="104">
        <v>3036.3572889999996</v>
      </c>
      <c r="N79" s="104"/>
      <c r="O79" s="116"/>
      <c r="P79" s="116">
        <f t="shared" si="18"/>
        <v>53.752955209977046</v>
      </c>
      <c r="Q79" s="116"/>
      <c r="R79" s="116">
        <f t="shared" si="19"/>
        <v>99.999999999999986</v>
      </c>
      <c r="S79" s="322">
        <f t="shared" si="20"/>
        <v>52.762535518423007</v>
      </c>
      <c r="T79" s="322">
        <f t="shared" si="21"/>
        <v>52.762535518423</v>
      </c>
      <c r="U79" s="322"/>
    </row>
    <row r="80" spans="1:21">
      <c r="A80" s="100">
        <v>69</v>
      </c>
      <c r="B80" s="101" t="s">
        <v>452</v>
      </c>
      <c r="C80" s="102">
        <f t="shared" si="25"/>
        <v>5920.0649999999996</v>
      </c>
      <c r="D80" s="103">
        <v>12.125</v>
      </c>
      <c r="E80" s="104">
        <v>201.3</v>
      </c>
      <c r="F80" s="104">
        <f t="shared" si="26"/>
        <v>5706.6399999999994</v>
      </c>
      <c r="G80" s="104">
        <v>5706.6399999999994</v>
      </c>
      <c r="H80" s="104"/>
      <c r="I80" s="104">
        <f t="shared" si="23"/>
        <v>5828.0788170000005</v>
      </c>
      <c r="J80" s="103"/>
      <c r="K80" s="104">
        <v>201.3</v>
      </c>
      <c r="L80" s="104">
        <f t="shared" si="24"/>
        <v>5626.7788170000003</v>
      </c>
      <c r="M80" s="104">
        <v>5626.7788170000003</v>
      </c>
      <c r="N80" s="104"/>
      <c r="O80" s="116"/>
      <c r="P80" s="116">
        <f t="shared" si="18"/>
        <v>98.446196401559789</v>
      </c>
      <c r="Q80" s="116"/>
      <c r="R80" s="116">
        <f t="shared" si="19"/>
        <v>100.00000000000001</v>
      </c>
      <c r="S80" s="322">
        <f t="shared" si="20"/>
        <v>98.600556842555349</v>
      </c>
      <c r="T80" s="322">
        <f t="shared" si="21"/>
        <v>98.600556842555349</v>
      </c>
      <c r="U80" s="322"/>
    </row>
    <row r="81" spans="1:21">
      <c r="A81" s="100">
        <v>70</v>
      </c>
      <c r="B81" s="101" t="s">
        <v>250</v>
      </c>
      <c r="C81" s="102">
        <f t="shared" si="25"/>
        <v>5235.0050000000001</v>
      </c>
      <c r="D81" s="103">
        <v>10.595000000000001</v>
      </c>
      <c r="E81" s="104">
        <v>129.36000000000001</v>
      </c>
      <c r="F81" s="104">
        <f t="shared" si="26"/>
        <v>5095.05</v>
      </c>
      <c r="G81" s="104">
        <v>5095.05</v>
      </c>
      <c r="H81" s="104"/>
      <c r="I81" s="104">
        <f t="shared" si="23"/>
        <v>1465.1959999999999</v>
      </c>
      <c r="J81" s="103"/>
      <c r="K81" s="104">
        <v>129.08500000000001</v>
      </c>
      <c r="L81" s="104">
        <f t="shared" si="24"/>
        <v>1336.1109999999999</v>
      </c>
      <c r="M81" s="104">
        <v>1336.1109999999999</v>
      </c>
      <c r="N81" s="104"/>
      <c r="O81" s="116"/>
      <c r="P81" s="116">
        <f t="shared" si="18"/>
        <v>27.988435541131285</v>
      </c>
      <c r="Q81" s="116"/>
      <c r="R81" s="116">
        <f t="shared" si="19"/>
        <v>99.7874149659864</v>
      </c>
      <c r="S81" s="322">
        <f t="shared" si="20"/>
        <v>26.223707323775031</v>
      </c>
      <c r="T81" s="322">
        <f t="shared" si="21"/>
        <v>26.223707323775031</v>
      </c>
      <c r="U81" s="322"/>
    </row>
    <row r="82" spans="1:21">
      <c r="A82" s="100">
        <v>71</v>
      </c>
      <c r="B82" s="101" t="s">
        <v>251</v>
      </c>
      <c r="C82" s="102">
        <f t="shared" si="25"/>
        <v>5879.8895000000002</v>
      </c>
      <c r="D82" s="103">
        <v>653.12950000000001</v>
      </c>
      <c r="E82" s="104">
        <v>134.63999999999999</v>
      </c>
      <c r="F82" s="104">
        <f t="shared" si="26"/>
        <v>5092.12</v>
      </c>
      <c r="G82" s="104">
        <v>5092.12</v>
      </c>
      <c r="H82" s="104"/>
      <c r="I82" s="104">
        <f t="shared" si="23"/>
        <v>1005.6892999999999</v>
      </c>
      <c r="J82" s="103">
        <v>641.73429999999996</v>
      </c>
      <c r="K82" s="104">
        <v>128.04</v>
      </c>
      <c r="L82" s="104">
        <f t="shared" si="24"/>
        <v>235.91499999999999</v>
      </c>
      <c r="M82" s="104">
        <v>235.91499999999999</v>
      </c>
      <c r="N82" s="104"/>
      <c r="O82" s="116"/>
      <c r="P82" s="116">
        <f t="shared" si="18"/>
        <v>17.103880948783136</v>
      </c>
      <c r="Q82" s="116">
        <f t="shared" si="22"/>
        <v>98.255292403726969</v>
      </c>
      <c r="R82" s="116">
        <f t="shared" si="19"/>
        <v>95.098039215686285</v>
      </c>
      <c r="S82" s="322">
        <f t="shared" si="20"/>
        <v>4.6329426643519795</v>
      </c>
      <c r="T82" s="322">
        <f t="shared" si="21"/>
        <v>4.6329426643519787</v>
      </c>
      <c r="U82" s="322"/>
    </row>
    <row r="83" spans="1:21">
      <c r="F83" s="105"/>
      <c r="G83" s="105"/>
      <c r="H83" s="105"/>
      <c r="L83" s="105"/>
      <c r="M83" s="105"/>
      <c r="N83" s="105"/>
      <c r="O83" s="105"/>
      <c r="S83" s="105"/>
      <c r="T83" s="105"/>
      <c r="U83" s="105"/>
    </row>
    <row r="84" spans="1:21">
      <c r="F84" s="105"/>
      <c r="G84" s="105"/>
      <c r="H84" s="105"/>
      <c r="L84" s="105"/>
      <c r="M84" s="105"/>
      <c r="N84" s="105"/>
      <c r="O84" s="105"/>
      <c r="S84" s="105"/>
      <c r="T84" s="105"/>
      <c r="U84" s="105"/>
    </row>
    <row r="85" spans="1:21">
      <c r="F85" s="105"/>
      <c r="G85" s="105"/>
      <c r="H85" s="105"/>
      <c r="L85" s="105"/>
      <c r="M85" s="105"/>
      <c r="N85" s="105"/>
      <c r="O85" s="105"/>
      <c r="S85" s="105"/>
      <c r="T85" s="105"/>
      <c r="U85" s="105"/>
    </row>
    <row r="86" spans="1:21">
      <c r="F86" s="105"/>
      <c r="G86" s="105"/>
      <c r="H86" s="105"/>
      <c r="L86" s="105"/>
      <c r="M86" s="105"/>
      <c r="N86" s="105"/>
      <c r="O86" s="105"/>
      <c r="S86" s="105"/>
      <c r="T86" s="105"/>
      <c r="U86" s="105"/>
    </row>
    <row r="87" spans="1:21">
      <c r="F87" s="105"/>
      <c r="G87" s="105"/>
      <c r="H87" s="105"/>
      <c r="L87" s="105"/>
      <c r="M87" s="105"/>
      <c r="N87" s="105"/>
      <c r="O87" s="105"/>
      <c r="S87" s="105"/>
      <c r="T87" s="105"/>
      <c r="U87" s="105"/>
    </row>
    <row r="88" spans="1:21">
      <c r="F88" s="105"/>
      <c r="G88" s="105"/>
      <c r="H88" s="105"/>
      <c r="L88" s="105"/>
      <c r="M88" s="105"/>
      <c r="N88" s="105"/>
      <c r="O88" s="105"/>
      <c r="S88" s="105"/>
      <c r="T88" s="105"/>
      <c r="U88" s="105"/>
    </row>
    <row r="89" spans="1:21">
      <c r="F89" s="105"/>
      <c r="G89" s="105"/>
      <c r="H89" s="105"/>
      <c r="L89" s="105"/>
      <c r="M89" s="105"/>
      <c r="N89" s="105"/>
      <c r="O89" s="105"/>
      <c r="S89" s="105"/>
      <c r="T89" s="105"/>
      <c r="U89" s="105"/>
    </row>
    <row r="90" spans="1:21">
      <c r="F90" s="105"/>
      <c r="G90" s="105"/>
      <c r="H90" s="105"/>
      <c r="L90" s="105"/>
      <c r="M90" s="105"/>
      <c r="N90" s="105"/>
      <c r="O90" s="105"/>
      <c r="S90" s="105"/>
      <c r="T90" s="105"/>
      <c r="U90" s="105"/>
    </row>
    <row r="91" spans="1:21">
      <c r="F91" s="105"/>
      <c r="G91" s="105"/>
      <c r="H91" s="105"/>
      <c r="L91" s="105"/>
      <c r="M91" s="105"/>
      <c r="N91" s="105"/>
      <c r="O91" s="105"/>
      <c r="S91" s="105"/>
      <c r="T91" s="105"/>
      <c r="U91" s="105"/>
    </row>
    <row r="92" spans="1:21">
      <c r="F92" s="105"/>
      <c r="G92" s="105"/>
      <c r="H92" s="105"/>
      <c r="L92" s="105"/>
      <c r="M92" s="105"/>
      <c r="N92" s="105"/>
      <c r="O92" s="105"/>
      <c r="S92" s="105"/>
      <c r="T92" s="105"/>
      <c r="U92" s="105"/>
    </row>
    <row r="93" spans="1:21">
      <c r="F93" s="105"/>
      <c r="G93" s="105"/>
      <c r="H93" s="105"/>
      <c r="L93" s="105"/>
      <c r="M93" s="105"/>
      <c r="N93" s="105"/>
      <c r="O93" s="105"/>
      <c r="S93" s="105"/>
      <c r="T93" s="105"/>
      <c r="U93" s="105"/>
    </row>
    <row r="94" spans="1:21">
      <c r="F94" s="105"/>
      <c r="G94" s="105"/>
      <c r="H94" s="105"/>
      <c r="L94" s="105"/>
      <c r="M94" s="105"/>
      <c r="N94" s="105"/>
      <c r="O94" s="105"/>
      <c r="S94" s="105"/>
      <c r="T94" s="105"/>
      <c r="U94" s="105"/>
    </row>
    <row r="95" spans="1:21">
      <c r="F95" s="105"/>
      <c r="G95" s="105"/>
      <c r="H95" s="105"/>
      <c r="L95" s="105"/>
      <c r="M95" s="105"/>
      <c r="N95" s="105"/>
      <c r="O95" s="105"/>
      <c r="S95" s="105"/>
      <c r="T95" s="105"/>
      <c r="U95" s="105"/>
    </row>
    <row r="96" spans="1:21">
      <c r="F96" s="105"/>
      <c r="G96" s="105"/>
      <c r="H96" s="105"/>
      <c r="L96" s="105"/>
      <c r="M96" s="105"/>
      <c r="N96" s="105"/>
      <c r="O96" s="105"/>
      <c r="S96" s="105"/>
      <c r="T96" s="105"/>
      <c r="U96" s="105"/>
    </row>
  </sheetData>
  <mergeCells count="25">
    <mergeCell ref="O1:U1"/>
    <mergeCell ref="A3:U3"/>
    <mergeCell ref="A4:U4"/>
    <mergeCell ref="I5:J5"/>
    <mergeCell ref="K5:L5"/>
    <mergeCell ref="O5:U5"/>
    <mergeCell ref="A1:B1"/>
    <mergeCell ref="P6:U6"/>
    <mergeCell ref="C7:C8"/>
    <mergeCell ref="D7:D8"/>
    <mergeCell ref="E7:E8"/>
    <mergeCell ref="F7:H7"/>
    <mergeCell ref="R7:R8"/>
    <mergeCell ref="S7:U7"/>
    <mergeCell ref="P7:P8"/>
    <mergeCell ref="Q7:Q8"/>
    <mergeCell ref="A6:A8"/>
    <mergeCell ref="B6:B8"/>
    <mergeCell ref="C6:H6"/>
    <mergeCell ref="I6:N6"/>
    <mergeCell ref="O6:O8"/>
    <mergeCell ref="I7:I8"/>
    <mergeCell ref="J7:J8"/>
    <mergeCell ref="K7:K8"/>
    <mergeCell ref="L7:N7"/>
  </mergeCells>
  <pageMargins left="0.23" right="0.17" top="0.44" bottom="0.32" header="0.3" footer="0.3"/>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43"/>
  <sheetViews>
    <sheetView topLeftCell="D1" workbookViewId="0">
      <selection activeCell="I12" sqref="I12"/>
    </sheetView>
  </sheetViews>
  <sheetFormatPr defaultRowHeight="15"/>
  <cols>
    <col min="1" max="1" width="5" style="137" customWidth="1"/>
    <col min="2" max="2" width="16.85546875" style="137" customWidth="1"/>
    <col min="3" max="3" width="10" style="137" customWidth="1"/>
    <col min="4" max="5" width="6.85546875" style="137" customWidth="1"/>
    <col min="6" max="6" width="6.140625" style="137" customWidth="1"/>
    <col min="7" max="7" width="7.7109375" style="137" customWidth="1"/>
    <col min="8" max="9" width="10" style="137" customWidth="1"/>
    <col min="10" max="10" width="6.85546875" style="137" customWidth="1"/>
    <col min="11" max="11" width="8" style="137" customWidth="1"/>
    <col min="12" max="12" width="6.85546875" style="137" customWidth="1"/>
    <col min="13" max="13" width="10" style="137" customWidth="1"/>
    <col min="14" max="15" width="10" style="247" customWidth="1"/>
    <col min="16" max="16" width="9.140625" style="137" customWidth="1"/>
    <col min="17" max="17" width="7" style="137" customWidth="1"/>
    <col min="18" max="18" width="10" style="137" customWidth="1"/>
    <col min="19" max="19" width="10" style="247" customWidth="1"/>
    <col min="20" max="20" width="10" style="137" customWidth="1"/>
    <col min="21" max="21" width="8.140625" style="137" customWidth="1"/>
    <col min="22" max="22" width="6.140625" style="137" customWidth="1"/>
    <col min="23" max="23" width="10" style="137" customWidth="1"/>
    <col min="24" max="24" width="5.85546875" style="137" customWidth="1"/>
    <col min="25" max="25" width="12.28515625" style="137" customWidth="1"/>
    <col min="26" max="26" width="11.42578125" style="137" customWidth="1"/>
    <col min="27" max="27" width="18.85546875" style="137" customWidth="1"/>
    <col min="28" max="256" width="8.85546875" style="137"/>
    <col min="257" max="257" width="6.140625" style="137" customWidth="1"/>
    <col min="258" max="258" width="24" style="137" customWidth="1"/>
    <col min="259" max="259" width="11.140625" style="137" customWidth="1"/>
    <col min="260" max="260" width="8.85546875" style="137" customWidth="1"/>
    <col min="261" max="261" width="10.85546875" style="137" customWidth="1"/>
    <col min="262" max="262" width="8.42578125" style="137" customWidth="1"/>
    <col min="263" max="263" width="12.140625" style="137" bestFit="1" customWidth="1"/>
    <col min="264" max="264" width="12.140625" style="137" customWidth="1"/>
    <col min="265" max="265" width="10.85546875" style="137" customWidth="1"/>
    <col min="266" max="268" width="0" style="137" hidden="1" customWidth="1"/>
    <col min="269" max="269" width="11.28515625" style="137" customWidth="1"/>
    <col min="270" max="270" width="10" style="137" customWidth="1"/>
    <col min="271" max="271" width="9.28515625" style="137" customWidth="1"/>
    <col min="272" max="272" width="10.7109375" style="137" customWidth="1"/>
    <col min="273" max="273" width="8.28515625" style="137" customWidth="1"/>
    <col min="274" max="274" width="10.7109375" style="137" customWidth="1"/>
    <col min="275" max="275" width="10" style="137" customWidth="1"/>
    <col min="276" max="276" width="9.7109375" style="137" customWidth="1"/>
    <col min="277" max="277" width="8.85546875" style="137"/>
    <col min="278" max="278" width="9.5703125" style="137" customWidth="1"/>
    <col min="279" max="279" width="8.85546875" style="137"/>
    <col min="280" max="280" width="10.85546875" style="137" customWidth="1"/>
    <col min="281" max="281" width="12.28515625" style="137" customWidth="1"/>
    <col min="282" max="512" width="8.85546875" style="137"/>
    <col min="513" max="513" width="6.140625" style="137" customWidth="1"/>
    <col min="514" max="514" width="24" style="137" customWidth="1"/>
    <col min="515" max="515" width="11.140625" style="137" customWidth="1"/>
    <col min="516" max="516" width="8.85546875" style="137" customWidth="1"/>
    <col min="517" max="517" width="10.85546875" style="137" customWidth="1"/>
    <col min="518" max="518" width="8.42578125" style="137" customWidth="1"/>
    <col min="519" max="519" width="12.140625" style="137" bestFit="1" customWidth="1"/>
    <col min="520" max="520" width="12.140625" style="137" customWidth="1"/>
    <col min="521" max="521" width="10.85546875" style="137" customWidth="1"/>
    <col min="522" max="524" width="0" style="137" hidden="1" customWidth="1"/>
    <col min="525" max="525" width="11.28515625" style="137" customWidth="1"/>
    <col min="526" max="526" width="10" style="137" customWidth="1"/>
    <col min="527" max="527" width="9.28515625" style="137" customWidth="1"/>
    <col min="528" max="528" width="10.7109375" style="137" customWidth="1"/>
    <col min="529" max="529" width="8.28515625" style="137" customWidth="1"/>
    <col min="530" max="530" width="10.7109375" style="137" customWidth="1"/>
    <col min="531" max="531" width="10" style="137" customWidth="1"/>
    <col min="532" max="532" width="9.7109375" style="137" customWidth="1"/>
    <col min="533" max="533" width="8.85546875" style="137"/>
    <col min="534" max="534" width="9.5703125" style="137" customWidth="1"/>
    <col min="535" max="535" width="8.85546875" style="137"/>
    <col min="536" max="536" width="10.85546875" style="137" customWidth="1"/>
    <col min="537" max="537" width="12.28515625" style="137" customWidth="1"/>
    <col min="538" max="768" width="8.85546875" style="137"/>
    <col min="769" max="769" width="6.140625" style="137" customWidth="1"/>
    <col min="770" max="770" width="24" style="137" customWidth="1"/>
    <col min="771" max="771" width="11.140625" style="137" customWidth="1"/>
    <col min="772" max="772" width="8.85546875" style="137" customWidth="1"/>
    <col min="773" max="773" width="10.85546875" style="137" customWidth="1"/>
    <col min="774" max="774" width="8.42578125" style="137" customWidth="1"/>
    <col min="775" max="775" width="12.140625" style="137" bestFit="1" customWidth="1"/>
    <col min="776" max="776" width="12.140625" style="137" customWidth="1"/>
    <col min="777" max="777" width="10.85546875" style="137" customWidth="1"/>
    <col min="778" max="780" width="0" style="137" hidden="1" customWidth="1"/>
    <col min="781" max="781" width="11.28515625" style="137" customWidth="1"/>
    <col min="782" max="782" width="10" style="137" customWidth="1"/>
    <col min="783" max="783" width="9.28515625" style="137" customWidth="1"/>
    <col min="784" max="784" width="10.7109375" style="137" customWidth="1"/>
    <col min="785" max="785" width="8.28515625" style="137" customWidth="1"/>
    <col min="786" max="786" width="10.7109375" style="137" customWidth="1"/>
    <col min="787" max="787" width="10" style="137" customWidth="1"/>
    <col min="788" max="788" width="9.7109375" style="137" customWidth="1"/>
    <col min="789" max="789" width="8.85546875" style="137"/>
    <col min="790" max="790" width="9.5703125" style="137" customWidth="1"/>
    <col min="791" max="791" width="8.85546875" style="137"/>
    <col min="792" max="792" width="10.85546875" style="137" customWidth="1"/>
    <col min="793" max="793" width="12.28515625" style="137" customWidth="1"/>
    <col min="794" max="1024" width="8.85546875" style="137"/>
    <col min="1025" max="1025" width="6.140625" style="137" customWidth="1"/>
    <col min="1026" max="1026" width="24" style="137" customWidth="1"/>
    <col min="1027" max="1027" width="11.140625" style="137" customWidth="1"/>
    <col min="1028" max="1028" width="8.85546875" style="137" customWidth="1"/>
    <col min="1029" max="1029" width="10.85546875" style="137" customWidth="1"/>
    <col min="1030" max="1030" width="8.42578125" style="137" customWidth="1"/>
    <col min="1031" max="1031" width="12.140625" style="137" bestFit="1" customWidth="1"/>
    <col min="1032" max="1032" width="12.140625" style="137" customWidth="1"/>
    <col min="1033" max="1033" width="10.85546875" style="137" customWidth="1"/>
    <col min="1034" max="1036" width="0" style="137" hidden="1" customWidth="1"/>
    <col min="1037" max="1037" width="11.28515625" style="137" customWidth="1"/>
    <col min="1038" max="1038" width="10" style="137" customWidth="1"/>
    <col min="1039" max="1039" width="9.28515625" style="137" customWidth="1"/>
    <col min="1040" max="1040" width="10.7109375" style="137" customWidth="1"/>
    <col min="1041" max="1041" width="8.28515625" style="137" customWidth="1"/>
    <col min="1042" max="1042" width="10.7109375" style="137" customWidth="1"/>
    <col min="1043" max="1043" width="10" style="137" customWidth="1"/>
    <col min="1044" max="1044" width="9.7109375" style="137" customWidth="1"/>
    <col min="1045" max="1045" width="8.85546875" style="137"/>
    <col min="1046" max="1046" width="9.5703125" style="137" customWidth="1"/>
    <col min="1047" max="1047" width="8.85546875" style="137"/>
    <col min="1048" max="1048" width="10.85546875" style="137" customWidth="1"/>
    <col min="1049" max="1049" width="12.28515625" style="137" customWidth="1"/>
    <col min="1050" max="1280" width="8.85546875" style="137"/>
    <col min="1281" max="1281" width="6.140625" style="137" customWidth="1"/>
    <col min="1282" max="1282" width="24" style="137" customWidth="1"/>
    <col min="1283" max="1283" width="11.140625" style="137" customWidth="1"/>
    <col min="1284" max="1284" width="8.85546875" style="137" customWidth="1"/>
    <col min="1285" max="1285" width="10.85546875" style="137" customWidth="1"/>
    <col min="1286" max="1286" width="8.42578125" style="137" customWidth="1"/>
    <col min="1287" max="1287" width="12.140625" style="137" bestFit="1" customWidth="1"/>
    <col min="1288" max="1288" width="12.140625" style="137" customWidth="1"/>
    <col min="1289" max="1289" width="10.85546875" style="137" customWidth="1"/>
    <col min="1290" max="1292" width="0" style="137" hidden="1" customWidth="1"/>
    <col min="1293" max="1293" width="11.28515625" style="137" customWidth="1"/>
    <col min="1294" max="1294" width="10" style="137" customWidth="1"/>
    <col min="1295" max="1295" width="9.28515625" style="137" customWidth="1"/>
    <col min="1296" max="1296" width="10.7109375" style="137" customWidth="1"/>
    <col min="1297" max="1297" width="8.28515625" style="137" customWidth="1"/>
    <col min="1298" max="1298" width="10.7109375" style="137" customWidth="1"/>
    <col min="1299" max="1299" width="10" style="137" customWidth="1"/>
    <col min="1300" max="1300" width="9.7109375" style="137" customWidth="1"/>
    <col min="1301" max="1301" width="8.85546875" style="137"/>
    <col min="1302" max="1302" width="9.5703125" style="137" customWidth="1"/>
    <col min="1303" max="1303" width="8.85546875" style="137"/>
    <col min="1304" max="1304" width="10.85546875" style="137" customWidth="1"/>
    <col min="1305" max="1305" width="12.28515625" style="137" customWidth="1"/>
    <col min="1306" max="1536" width="8.85546875" style="137"/>
    <col min="1537" max="1537" width="6.140625" style="137" customWidth="1"/>
    <col min="1538" max="1538" width="24" style="137" customWidth="1"/>
    <col min="1539" max="1539" width="11.140625" style="137" customWidth="1"/>
    <col min="1540" max="1540" width="8.85546875" style="137" customWidth="1"/>
    <col min="1541" max="1541" width="10.85546875" style="137" customWidth="1"/>
    <col min="1542" max="1542" width="8.42578125" style="137" customWidth="1"/>
    <col min="1543" max="1543" width="12.140625" style="137" bestFit="1" customWidth="1"/>
    <col min="1544" max="1544" width="12.140625" style="137" customWidth="1"/>
    <col min="1545" max="1545" width="10.85546875" style="137" customWidth="1"/>
    <col min="1546" max="1548" width="0" style="137" hidden="1" customWidth="1"/>
    <col min="1549" max="1549" width="11.28515625" style="137" customWidth="1"/>
    <col min="1550" max="1550" width="10" style="137" customWidth="1"/>
    <col min="1551" max="1551" width="9.28515625" style="137" customWidth="1"/>
    <col min="1552" max="1552" width="10.7109375" style="137" customWidth="1"/>
    <col min="1553" max="1553" width="8.28515625" style="137" customWidth="1"/>
    <col min="1554" max="1554" width="10.7109375" style="137" customWidth="1"/>
    <col min="1555" max="1555" width="10" style="137" customWidth="1"/>
    <col min="1556" max="1556" width="9.7109375" style="137" customWidth="1"/>
    <col min="1557" max="1557" width="8.85546875" style="137"/>
    <col min="1558" max="1558" width="9.5703125" style="137" customWidth="1"/>
    <col min="1559" max="1559" width="8.85546875" style="137"/>
    <col min="1560" max="1560" width="10.85546875" style="137" customWidth="1"/>
    <col min="1561" max="1561" width="12.28515625" style="137" customWidth="1"/>
    <col min="1562" max="1792" width="8.85546875" style="137"/>
    <col min="1793" max="1793" width="6.140625" style="137" customWidth="1"/>
    <col min="1794" max="1794" width="24" style="137" customWidth="1"/>
    <col min="1795" max="1795" width="11.140625" style="137" customWidth="1"/>
    <col min="1796" max="1796" width="8.85546875" style="137" customWidth="1"/>
    <col min="1797" max="1797" width="10.85546875" style="137" customWidth="1"/>
    <col min="1798" max="1798" width="8.42578125" style="137" customWidth="1"/>
    <col min="1799" max="1799" width="12.140625" style="137" bestFit="1" customWidth="1"/>
    <col min="1800" max="1800" width="12.140625" style="137" customWidth="1"/>
    <col min="1801" max="1801" width="10.85546875" style="137" customWidth="1"/>
    <col min="1802" max="1804" width="0" style="137" hidden="1" customWidth="1"/>
    <col min="1805" max="1805" width="11.28515625" style="137" customWidth="1"/>
    <col min="1806" max="1806" width="10" style="137" customWidth="1"/>
    <col min="1807" max="1807" width="9.28515625" style="137" customWidth="1"/>
    <col min="1808" max="1808" width="10.7109375" style="137" customWidth="1"/>
    <col min="1809" max="1809" width="8.28515625" style="137" customWidth="1"/>
    <col min="1810" max="1810" width="10.7109375" style="137" customWidth="1"/>
    <col min="1811" max="1811" width="10" style="137" customWidth="1"/>
    <col min="1812" max="1812" width="9.7109375" style="137" customWidth="1"/>
    <col min="1813" max="1813" width="8.85546875" style="137"/>
    <col min="1814" max="1814" width="9.5703125" style="137" customWidth="1"/>
    <col min="1815" max="1815" width="8.85546875" style="137"/>
    <col min="1816" max="1816" width="10.85546875" style="137" customWidth="1"/>
    <col min="1817" max="1817" width="12.28515625" style="137" customWidth="1"/>
    <col min="1818" max="2048" width="8.85546875" style="137"/>
    <col min="2049" max="2049" width="6.140625" style="137" customWidth="1"/>
    <col min="2050" max="2050" width="24" style="137" customWidth="1"/>
    <col min="2051" max="2051" width="11.140625" style="137" customWidth="1"/>
    <col min="2052" max="2052" width="8.85546875" style="137" customWidth="1"/>
    <col min="2053" max="2053" width="10.85546875" style="137" customWidth="1"/>
    <col min="2054" max="2054" width="8.42578125" style="137" customWidth="1"/>
    <col min="2055" max="2055" width="12.140625" style="137" bestFit="1" customWidth="1"/>
    <col min="2056" max="2056" width="12.140625" style="137" customWidth="1"/>
    <col min="2057" max="2057" width="10.85546875" style="137" customWidth="1"/>
    <col min="2058" max="2060" width="0" style="137" hidden="1" customWidth="1"/>
    <col min="2061" max="2061" width="11.28515625" style="137" customWidth="1"/>
    <col min="2062" max="2062" width="10" style="137" customWidth="1"/>
    <col min="2063" max="2063" width="9.28515625" style="137" customWidth="1"/>
    <col min="2064" max="2064" width="10.7109375" style="137" customWidth="1"/>
    <col min="2065" max="2065" width="8.28515625" style="137" customWidth="1"/>
    <col min="2066" max="2066" width="10.7109375" style="137" customWidth="1"/>
    <col min="2067" max="2067" width="10" style="137" customWidth="1"/>
    <col min="2068" max="2068" width="9.7109375" style="137" customWidth="1"/>
    <col min="2069" max="2069" width="8.85546875" style="137"/>
    <col min="2070" max="2070" width="9.5703125" style="137" customWidth="1"/>
    <col min="2071" max="2071" width="8.85546875" style="137"/>
    <col min="2072" max="2072" width="10.85546875" style="137" customWidth="1"/>
    <col min="2073" max="2073" width="12.28515625" style="137" customWidth="1"/>
    <col min="2074" max="2304" width="8.85546875" style="137"/>
    <col min="2305" max="2305" width="6.140625" style="137" customWidth="1"/>
    <col min="2306" max="2306" width="24" style="137" customWidth="1"/>
    <col min="2307" max="2307" width="11.140625" style="137" customWidth="1"/>
    <col min="2308" max="2308" width="8.85546875" style="137" customWidth="1"/>
    <col min="2309" max="2309" width="10.85546875" style="137" customWidth="1"/>
    <col min="2310" max="2310" width="8.42578125" style="137" customWidth="1"/>
    <col min="2311" max="2311" width="12.140625" style="137" bestFit="1" customWidth="1"/>
    <col min="2312" max="2312" width="12.140625" style="137" customWidth="1"/>
    <col min="2313" max="2313" width="10.85546875" style="137" customWidth="1"/>
    <col min="2314" max="2316" width="0" style="137" hidden="1" customWidth="1"/>
    <col min="2317" max="2317" width="11.28515625" style="137" customWidth="1"/>
    <col min="2318" max="2318" width="10" style="137" customWidth="1"/>
    <col min="2319" max="2319" width="9.28515625" style="137" customWidth="1"/>
    <col min="2320" max="2320" width="10.7109375" style="137" customWidth="1"/>
    <col min="2321" max="2321" width="8.28515625" style="137" customWidth="1"/>
    <col min="2322" max="2322" width="10.7109375" style="137" customWidth="1"/>
    <col min="2323" max="2323" width="10" style="137" customWidth="1"/>
    <col min="2324" max="2324" width="9.7109375" style="137" customWidth="1"/>
    <col min="2325" max="2325" width="8.85546875" style="137"/>
    <col min="2326" max="2326" width="9.5703125" style="137" customWidth="1"/>
    <col min="2327" max="2327" width="8.85546875" style="137"/>
    <col min="2328" max="2328" width="10.85546875" style="137" customWidth="1"/>
    <col min="2329" max="2329" width="12.28515625" style="137" customWidth="1"/>
    <col min="2330" max="2560" width="8.85546875" style="137"/>
    <col min="2561" max="2561" width="6.140625" style="137" customWidth="1"/>
    <col min="2562" max="2562" width="24" style="137" customWidth="1"/>
    <col min="2563" max="2563" width="11.140625" style="137" customWidth="1"/>
    <col min="2564" max="2564" width="8.85546875" style="137" customWidth="1"/>
    <col min="2565" max="2565" width="10.85546875" style="137" customWidth="1"/>
    <col min="2566" max="2566" width="8.42578125" style="137" customWidth="1"/>
    <col min="2567" max="2567" width="12.140625" style="137" bestFit="1" customWidth="1"/>
    <col min="2568" max="2568" width="12.140625" style="137" customWidth="1"/>
    <col min="2569" max="2569" width="10.85546875" style="137" customWidth="1"/>
    <col min="2570" max="2572" width="0" style="137" hidden="1" customWidth="1"/>
    <col min="2573" max="2573" width="11.28515625" style="137" customWidth="1"/>
    <col min="2574" max="2574" width="10" style="137" customWidth="1"/>
    <col min="2575" max="2575" width="9.28515625" style="137" customWidth="1"/>
    <col min="2576" max="2576" width="10.7109375" style="137" customWidth="1"/>
    <col min="2577" max="2577" width="8.28515625" style="137" customWidth="1"/>
    <col min="2578" max="2578" width="10.7109375" style="137" customWidth="1"/>
    <col min="2579" max="2579" width="10" style="137" customWidth="1"/>
    <col min="2580" max="2580" width="9.7109375" style="137" customWidth="1"/>
    <col min="2581" max="2581" width="8.85546875" style="137"/>
    <col min="2582" max="2582" width="9.5703125" style="137" customWidth="1"/>
    <col min="2583" max="2583" width="8.85546875" style="137"/>
    <col min="2584" max="2584" width="10.85546875" style="137" customWidth="1"/>
    <col min="2585" max="2585" width="12.28515625" style="137" customWidth="1"/>
    <col min="2586" max="2816" width="8.85546875" style="137"/>
    <col min="2817" max="2817" width="6.140625" style="137" customWidth="1"/>
    <col min="2818" max="2818" width="24" style="137" customWidth="1"/>
    <col min="2819" max="2819" width="11.140625" style="137" customWidth="1"/>
    <col min="2820" max="2820" width="8.85546875" style="137" customWidth="1"/>
    <col min="2821" max="2821" width="10.85546875" style="137" customWidth="1"/>
    <col min="2822" max="2822" width="8.42578125" style="137" customWidth="1"/>
    <col min="2823" max="2823" width="12.140625" style="137" bestFit="1" customWidth="1"/>
    <col min="2824" max="2824" width="12.140625" style="137" customWidth="1"/>
    <col min="2825" max="2825" width="10.85546875" style="137" customWidth="1"/>
    <col min="2826" max="2828" width="0" style="137" hidden="1" customWidth="1"/>
    <col min="2829" max="2829" width="11.28515625" style="137" customWidth="1"/>
    <col min="2830" max="2830" width="10" style="137" customWidth="1"/>
    <col min="2831" max="2831" width="9.28515625" style="137" customWidth="1"/>
    <col min="2832" max="2832" width="10.7109375" style="137" customWidth="1"/>
    <col min="2833" max="2833" width="8.28515625" style="137" customWidth="1"/>
    <col min="2834" max="2834" width="10.7109375" style="137" customWidth="1"/>
    <col min="2835" max="2835" width="10" style="137" customWidth="1"/>
    <col min="2836" max="2836" width="9.7109375" style="137" customWidth="1"/>
    <col min="2837" max="2837" width="8.85546875" style="137"/>
    <col min="2838" max="2838" width="9.5703125" style="137" customWidth="1"/>
    <col min="2839" max="2839" width="8.85546875" style="137"/>
    <col min="2840" max="2840" width="10.85546875" style="137" customWidth="1"/>
    <col min="2841" max="2841" width="12.28515625" style="137" customWidth="1"/>
    <col min="2842" max="3072" width="8.85546875" style="137"/>
    <col min="3073" max="3073" width="6.140625" style="137" customWidth="1"/>
    <col min="3074" max="3074" width="24" style="137" customWidth="1"/>
    <col min="3075" max="3075" width="11.140625" style="137" customWidth="1"/>
    <col min="3076" max="3076" width="8.85546875" style="137" customWidth="1"/>
    <col min="3077" max="3077" width="10.85546875" style="137" customWidth="1"/>
    <col min="3078" max="3078" width="8.42578125" style="137" customWidth="1"/>
    <col min="3079" max="3079" width="12.140625" style="137" bestFit="1" customWidth="1"/>
    <col min="3080" max="3080" width="12.140625" style="137" customWidth="1"/>
    <col min="3081" max="3081" width="10.85546875" style="137" customWidth="1"/>
    <col min="3082" max="3084" width="0" style="137" hidden="1" customWidth="1"/>
    <col min="3085" max="3085" width="11.28515625" style="137" customWidth="1"/>
    <col min="3086" max="3086" width="10" style="137" customWidth="1"/>
    <col min="3087" max="3087" width="9.28515625" style="137" customWidth="1"/>
    <col min="3088" max="3088" width="10.7109375" style="137" customWidth="1"/>
    <col min="3089" max="3089" width="8.28515625" style="137" customWidth="1"/>
    <col min="3090" max="3090" width="10.7109375" style="137" customWidth="1"/>
    <col min="3091" max="3091" width="10" style="137" customWidth="1"/>
    <col min="3092" max="3092" width="9.7109375" style="137" customWidth="1"/>
    <col min="3093" max="3093" width="8.85546875" style="137"/>
    <col min="3094" max="3094" width="9.5703125" style="137" customWidth="1"/>
    <col min="3095" max="3095" width="8.85546875" style="137"/>
    <col min="3096" max="3096" width="10.85546875" style="137" customWidth="1"/>
    <col min="3097" max="3097" width="12.28515625" style="137" customWidth="1"/>
    <col min="3098" max="3328" width="8.85546875" style="137"/>
    <col min="3329" max="3329" width="6.140625" style="137" customWidth="1"/>
    <col min="3330" max="3330" width="24" style="137" customWidth="1"/>
    <col min="3331" max="3331" width="11.140625" style="137" customWidth="1"/>
    <col min="3332" max="3332" width="8.85546875" style="137" customWidth="1"/>
    <col min="3333" max="3333" width="10.85546875" style="137" customWidth="1"/>
    <col min="3334" max="3334" width="8.42578125" style="137" customWidth="1"/>
    <col min="3335" max="3335" width="12.140625" style="137" bestFit="1" customWidth="1"/>
    <col min="3336" max="3336" width="12.140625" style="137" customWidth="1"/>
    <col min="3337" max="3337" width="10.85546875" style="137" customWidth="1"/>
    <col min="3338" max="3340" width="0" style="137" hidden="1" customWidth="1"/>
    <col min="3341" max="3341" width="11.28515625" style="137" customWidth="1"/>
    <col min="3342" max="3342" width="10" style="137" customWidth="1"/>
    <col min="3343" max="3343" width="9.28515625" style="137" customWidth="1"/>
    <col min="3344" max="3344" width="10.7109375" style="137" customWidth="1"/>
    <col min="3345" max="3345" width="8.28515625" style="137" customWidth="1"/>
    <col min="3346" max="3346" width="10.7109375" style="137" customWidth="1"/>
    <col min="3347" max="3347" width="10" style="137" customWidth="1"/>
    <col min="3348" max="3348" width="9.7109375" style="137" customWidth="1"/>
    <col min="3349" max="3349" width="8.85546875" style="137"/>
    <col min="3350" max="3350" width="9.5703125" style="137" customWidth="1"/>
    <col min="3351" max="3351" width="8.85546875" style="137"/>
    <col min="3352" max="3352" width="10.85546875" style="137" customWidth="1"/>
    <col min="3353" max="3353" width="12.28515625" style="137" customWidth="1"/>
    <col min="3354" max="3584" width="8.85546875" style="137"/>
    <col min="3585" max="3585" width="6.140625" style="137" customWidth="1"/>
    <col min="3586" max="3586" width="24" style="137" customWidth="1"/>
    <col min="3587" max="3587" width="11.140625" style="137" customWidth="1"/>
    <col min="3588" max="3588" width="8.85546875" style="137" customWidth="1"/>
    <col min="3589" max="3589" width="10.85546875" style="137" customWidth="1"/>
    <col min="3590" max="3590" width="8.42578125" style="137" customWidth="1"/>
    <col min="3591" max="3591" width="12.140625" style="137" bestFit="1" customWidth="1"/>
    <col min="3592" max="3592" width="12.140625" style="137" customWidth="1"/>
    <col min="3593" max="3593" width="10.85546875" style="137" customWidth="1"/>
    <col min="3594" max="3596" width="0" style="137" hidden="1" customWidth="1"/>
    <col min="3597" max="3597" width="11.28515625" style="137" customWidth="1"/>
    <col min="3598" max="3598" width="10" style="137" customWidth="1"/>
    <col min="3599" max="3599" width="9.28515625" style="137" customWidth="1"/>
    <col min="3600" max="3600" width="10.7109375" style="137" customWidth="1"/>
    <col min="3601" max="3601" width="8.28515625" style="137" customWidth="1"/>
    <col min="3602" max="3602" width="10.7109375" style="137" customWidth="1"/>
    <col min="3603" max="3603" width="10" style="137" customWidth="1"/>
    <col min="3604" max="3604" width="9.7109375" style="137" customWidth="1"/>
    <col min="3605" max="3605" width="8.85546875" style="137"/>
    <col min="3606" max="3606" width="9.5703125" style="137" customWidth="1"/>
    <col min="3607" max="3607" width="8.85546875" style="137"/>
    <col min="3608" max="3608" width="10.85546875" style="137" customWidth="1"/>
    <col min="3609" max="3609" width="12.28515625" style="137" customWidth="1"/>
    <col min="3610" max="3840" width="8.85546875" style="137"/>
    <col min="3841" max="3841" width="6.140625" style="137" customWidth="1"/>
    <col min="3842" max="3842" width="24" style="137" customWidth="1"/>
    <col min="3843" max="3843" width="11.140625" style="137" customWidth="1"/>
    <col min="3844" max="3844" width="8.85546875" style="137" customWidth="1"/>
    <col min="3845" max="3845" width="10.85546875" style="137" customWidth="1"/>
    <col min="3846" max="3846" width="8.42578125" style="137" customWidth="1"/>
    <col min="3847" max="3847" width="12.140625" style="137" bestFit="1" customWidth="1"/>
    <col min="3848" max="3848" width="12.140625" style="137" customWidth="1"/>
    <col min="3849" max="3849" width="10.85546875" style="137" customWidth="1"/>
    <col min="3850" max="3852" width="0" style="137" hidden="1" customWidth="1"/>
    <col min="3853" max="3853" width="11.28515625" style="137" customWidth="1"/>
    <col min="3854" max="3854" width="10" style="137" customWidth="1"/>
    <col min="3855" max="3855" width="9.28515625" style="137" customWidth="1"/>
    <col min="3856" max="3856" width="10.7109375" style="137" customWidth="1"/>
    <col min="3857" max="3857" width="8.28515625" style="137" customWidth="1"/>
    <col min="3858" max="3858" width="10.7109375" style="137" customWidth="1"/>
    <col min="3859" max="3859" width="10" style="137" customWidth="1"/>
    <col min="3860" max="3860" width="9.7109375" style="137" customWidth="1"/>
    <col min="3861" max="3861" width="8.85546875" style="137"/>
    <col min="3862" max="3862" width="9.5703125" style="137" customWidth="1"/>
    <col min="3863" max="3863" width="8.85546875" style="137"/>
    <col min="3864" max="3864" width="10.85546875" style="137" customWidth="1"/>
    <col min="3865" max="3865" width="12.28515625" style="137" customWidth="1"/>
    <col min="3866" max="4096" width="8.85546875" style="137"/>
    <col min="4097" max="4097" width="6.140625" style="137" customWidth="1"/>
    <col min="4098" max="4098" width="24" style="137" customWidth="1"/>
    <col min="4099" max="4099" width="11.140625" style="137" customWidth="1"/>
    <col min="4100" max="4100" width="8.85546875" style="137" customWidth="1"/>
    <col min="4101" max="4101" width="10.85546875" style="137" customWidth="1"/>
    <col min="4102" max="4102" width="8.42578125" style="137" customWidth="1"/>
    <col min="4103" max="4103" width="12.140625" style="137" bestFit="1" customWidth="1"/>
    <col min="4104" max="4104" width="12.140625" style="137" customWidth="1"/>
    <col min="4105" max="4105" width="10.85546875" style="137" customWidth="1"/>
    <col min="4106" max="4108" width="0" style="137" hidden="1" customWidth="1"/>
    <col min="4109" max="4109" width="11.28515625" style="137" customWidth="1"/>
    <col min="4110" max="4110" width="10" style="137" customWidth="1"/>
    <col min="4111" max="4111" width="9.28515625" style="137" customWidth="1"/>
    <col min="4112" max="4112" width="10.7109375" style="137" customWidth="1"/>
    <col min="4113" max="4113" width="8.28515625" style="137" customWidth="1"/>
    <col min="4114" max="4114" width="10.7109375" style="137" customWidth="1"/>
    <col min="4115" max="4115" width="10" style="137" customWidth="1"/>
    <col min="4116" max="4116" width="9.7109375" style="137" customWidth="1"/>
    <col min="4117" max="4117" width="8.85546875" style="137"/>
    <col min="4118" max="4118" width="9.5703125" style="137" customWidth="1"/>
    <col min="4119" max="4119" width="8.85546875" style="137"/>
    <col min="4120" max="4120" width="10.85546875" style="137" customWidth="1"/>
    <col min="4121" max="4121" width="12.28515625" style="137" customWidth="1"/>
    <col min="4122" max="4352" width="8.85546875" style="137"/>
    <col min="4353" max="4353" width="6.140625" style="137" customWidth="1"/>
    <col min="4354" max="4354" width="24" style="137" customWidth="1"/>
    <col min="4355" max="4355" width="11.140625" style="137" customWidth="1"/>
    <col min="4356" max="4356" width="8.85546875" style="137" customWidth="1"/>
    <col min="4357" max="4357" width="10.85546875" style="137" customWidth="1"/>
    <col min="4358" max="4358" width="8.42578125" style="137" customWidth="1"/>
    <col min="4359" max="4359" width="12.140625" style="137" bestFit="1" customWidth="1"/>
    <col min="4360" max="4360" width="12.140625" style="137" customWidth="1"/>
    <col min="4361" max="4361" width="10.85546875" style="137" customWidth="1"/>
    <col min="4362" max="4364" width="0" style="137" hidden="1" customWidth="1"/>
    <col min="4365" max="4365" width="11.28515625" style="137" customWidth="1"/>
    <col min="4366" max="4366" width="10" style="137" customWidth="1"/>
    <col min="4367" max="4367" width="9.28515625" style="137" customWidth="1"/>
    <col min="4368" max="4368" width="10.7109375" style="137" customWidth="1"/>
    <col min="4369" max="4369" width="8.28515625" style="137" customWidth="1"/>
    <col min="4370" max="4370" width="10.7109375" style="137" customWidth="1"/>
    <col min="4371" max="4371" width="10" style="137" customWidth="1"/>
    <col min="4372" max="4372" width="9.7109375" style="137" customWidth="1"/>
    <col min="4373" max="4373" width="8.85546875" style="137"/>
    <col min="4374" max="4374" width="9.5703125" style="137" customWidth="1"/>
    <col min="4375" max="4375" width="8.85546875" style="137"/>
    <col min="4376" max="4376" width="10.85546875" style="137" customWidth="1"/>
    <col min="4377" max="4377" width="12.28515625" style="137" customWidth="1"/>
    <col min="4378" max="4608" width="8.85546875" style="137"/>
    <col min="4609" max="4609" width="6.140625" style="137" customWidth="1"/>
    <col min="4610" max="4610" width="24" style="137" customWidth="1"/>
    <col min="4611" max="4611" width="11.140625" style="137" customWidth="1"/>
    <col min="4612" max="4612" width="8.85546875" style="137" customWidth="1"/>
    <col min="4613" max="4613" width="10.85546875" style="137" customWidth="1"/>
    <col min="4614" max="4614" width="8.42578125" style="137" customWidth="1"/>
    <col min="4615" max="4615" width="12.140625" style="137" bestFit="1" customWidth="1"/>
    <col min="4616" max="4616" width="12.140625" style="137" customWidth="1"/>
    <col min="4617" max="4617" width="10.85546875" style="137" customWidth="1"/>
    <col min="4618" max="4620" width="0" style="137" hidden="1" customWidth="1"/>
    <col min="4621" max="4621" width="11.28515625" style="137" customWidth="1"/>
    <col min="4622" max="4622" width="10" style="137" customWidth="1"/>
    <col min="4623" max="4623" width="9.28515625" style="137" customWidth="1"/>
    <col min="4624" max="4624" width="10.7109375" style="137" customWidth="1"/>
    <col min="4625" max="4625" width="8.28515625" style="137" customWidth="1"/>
    <col min="4626" max="4626" width="10.7109375" style="137" customWidth="1"/>
    <col min="4627" max="4627" width="10" style="137" customWidth="1"/>
    <col min="4628" max="4628" width="9.7109375" style="137" customWidth="1"/>
    <col min="4629" max="4629" width="8.85546875" style="137"/>
    <col min="4630" max="4630" width="9.5703125" style="137" customWidth="1"/>
    <col min="4631" max="4631" width="8.85546875" style="137"/>
    <col min="4632" max="4632" width="10.85546875" style="137" customWidth="1"/>
    <col min="4633" max="4633" width="12.28515625" style="137" customWidth="1"/>
    <col min="4634" max="4864" width="8.85546875" style="137"/>
    <col min="4865" max="4865" width="6.140625" style="137" customWidth="1"/>
    <col min="4866" max="4866" width="24" style="137" customWidth="1"/>
    <col min="4867" max="4867" width="11.140625" style="137" customWidth="1"/>
    <col min="4868" max="4868" width="8.85546875" style="137" customWidth="1"/>
    <col min="4869" max="4869" width="10.85546875" style="137" customWidth="1"/>
    <col min="4870" max="4870" width="8.42578125" style="137" customWidth="1"/>
    <col min="4871" max="4871" width="12.140625" style="137" bestFit="1" customWidth="1"/>
    <col min="4872" max="4872" width="12.140625" style="137" customWidth="1"/>
    <col min="4873" max="4873" width="10.85546875" style="137" customWidth="1"/>
    <col min="4874" max="4876" width="0" style="137" hidden="1" customWidth="1"/>
    <col min="4877" max="4877" width="11.28515625" style="137" customWidth="1"/>
    <col min="4878" max="4878" width="10" style="137" customWidth="1"/>
    <col min="4879" max="4879" width="9.28515625" style="137" customWidth="1"/>
    <col min="4880" max="4880" width="10.7109375" style="137" customWidth="1"/>
    <col min="4881" max="4881" width="8.28515625" style="137" customWidth="1"/>
    <col min="4882" max="4882" width="10.7109375" style="137" customWidth="1"/>
    <col min="4883" max="4883" width="10" style="137" customWidth="1"/>
    <col min="4884" max="4884" width="9.7109375" style="137" customWidth="1"/>
    <col min="4885" max="4885" width="8.85546875" style="137"/>
    <col min="4886" max="4886" width="9.5703125" style="137" customWidth="1"/>
    <col min="4887" max="4887" width="8.85546875" style="137"/>
    <col min="4888" max="4888" width="10.85546875" style="137" customWidth="1"/>
    <col min="4889" max="4889" width="12.28515625" style="137" customWidth="1"/>
    <col min="4890" max="5120" width="8.85546875" style="137"/>
    <col min="5121" max="5121" width="6.140625" style="137" customWidth="1"/>
    <col min="5122" max="5122" width="24" style="137" customWidth="1"/>
    <col min="5123" max="5123" width="11.140625" style="137" customWidth="1"/>
    <col min="5124" max="5124" width="8.85546875" style="137" customWidth="1"/>
    <col min="5125" max="5125" width="10.85546875" style="137" customWidth="1"/>
    <col min="5126" max="5126" width="8.42578125" style="137" customWidth="1"/>
    <col min="5127" max="5127" width="12.140625" style="137" bestFit="1" customWidth="1"/>
    <col min="5128" max="5128" width="12.140625" style="137" customWidth="1"/>
    <col min="5129" max="5129" width="10.85546875" style="137" customWidth="1"/>
    <col min="5130" max="5132" width="0" style="137" hidden="1" customWidth="1"/>
    <col min="5133" max="5133" width="11.28515625" style="137" customWidth="1"/>
    <col min="5134" max="5134" width="10" style="137" customWidth="1"/>
    <col min="5135" max="5135" width="9.28515625" style="137" customWidth="1"/>
    <col min="5136" max="5136" width="10.7109375" style="137" customWidth="1"/>
    <col min="5137" max="5137" width="8.28515625" style="137" customWidth="1"/>
    <col min="5138" max="5138" width="10.7109375" style="137" customWidth="1"/>
    <col min="5139" max="5139" width="10" style="137" customWidth="1"/>
    <col min="5140" max="5140" width="9.7109375" style="137" customWidth="1"/>
    <col min="5141" max="5141" width="8.85546875" style="137"/>
    <col min="5142" max="5142" width="9.5703125" style="137" customWidth="1"/>
    <col min="5143" max="5143" width="8.85546875" style="137"/>
    <col min="5144" max="5144" width="10.85546875" style="137" customWidth="1"/>
    <col min="5145" max="5145" width="12.28515625" style="137" customWidth="1"/>
    <col min="5146" max="5376" width="8.85546875" style="137"/>
    <col min="5377" max="5377" width="6.140625" style="137" customWidth="1"/>
    <col min="5378" max="5378" width="24" style="137" customWidth="1"/>
    <col min="5379" max="5379" width="11.140625" style="137" customWidth="1"/>
    <col min="5380" max="5380" width="8.85546875" style="137" customWidth="1"/>
    <col min="5381" max="5381" width="10.85546875" style="137" customWidth="1"/>
    <col min="5382" max="5382" width="8.42578125" style="137" customWidth="1"/>
    <col min="5383" max="5383" width="12.140625" style="137" bestFit="1" customWidth="1"/>
    <col min="5384" max="5384" width="12.140625" style="137" customWidth="1"/>
    <col min="5385" max="5385" width="10.85546875" style="137" customWidth="1"/>
    <col min="5386" max="5388" width="0" style="137" hidden="1" customWidth="1"/>
    <col min="5389" max="5389" width="11.28515625" style="137" customWidth="1"/>
    <col min="5390" max="5390" width="10" style="137" customWidth="1"/>
    <col min="5391" max="5391" width="9.28515625" style="137" customWidth="1"/>
    <col min="5392" max="5392" width="10.7109375" style="137" customWidth="1"/>
    <col min="5393" max="5393" width="8.28515625" style="137" customWidth="1"/>
    <col min="5394" max="5394" width="10.7109375" style="137" customWidth="1"/>
    <col min="5395" max="5395" width="10" style="137" customWidth="1"/>
    <col min="5396" max="5396" width="9.7109375" style="137" customWidth="1"/>
    <col min="5397" max="5397" width="8.85546875" style="137"/>
    <col min="5398" max="5398" width="9.5703125" style="137" customWidth="1"/>
    <col min="5399" max="5399" width="8.85546875" style="137"/>
    <col min="5400" max="5400" width="10.85546875" style="137" customWidth="1"/>
    <col min="5401" max="5401" width="12.28515625" style="137" customWidth="1"/>
    <col min="5402" max="5632" width="8.85546875" style="137"/>
    <col min="5633" max="5633" width="6.140625" style="137" customWidth="1"/>
    <col min="5634" max="5634" width="24" style="137" customWidth="1"/>
    <col min="5635" max="5635" width="11.140625" style="137" customWidth="1"/>
    <col min="5636" max="5636" width="8.85546875" style="137" customWidth="1"/>
    <col min="5637" max="5637" width="10.85546875" style="137" customWidth="1"/>
    <col min="5638" max="5638" width="8.42578125" style="137" customWidth="1"/>
    <col min="5639" max="5639" width="12.140625" style="137" bestFit="1" customWidth="1"/>
    <col min="5640" max="5640" width="12.140625" style="137" customWidth="1"/>
    <col min="5641" max="5641" width="10.85546875" style="137" customWidth="1"/>
    <col min="5642" max="5644" width="0" style="137" hidden="1" customWidth="1"/>
    <col min="5645" max="5645" width="11.28515625" style="137" customWidth="1"/>
    <col min="5646" max="5646" width="10" style="137" customWidth="1"/>
    <col min="5647" max="5647" width="9.28515625" style="137" customWidth="1"/>
    <col min="5648" max="5648" width="10.7109375" style="137" customWidth="1"/>
    <col min="5649" max="5649" width="8.28515625" style="137" customWidth="1"/>
    <col min="5650" max="5650" width="10.7109375" style="137" customWidth="1"/>
    <col min="5651" max="5651" width="10" style="137" customWidth="1"/>
    <col min="5652" max="5652" width="9.7109375" style="137" customWidth="1"/>
    <col min="5653" max="5653" width="8.85546875" style="137"/>
    <col min="5654" max="5654" width="9.5703125" style="137" customWidth="1"/>
    <col min="5655" max="5655" width="8.85546875" style="137"/>
    <col min="5656" max="5656" width="10.85546875" style="137" customWidth="1"/>
    <col min="5657" max="5657" width="12.28515625" style="137" customWidth="1"/>
    <col min="5658" max="5888" width="8.85546875" style="137"/>
    <col min="5889" max="5889" width="6.140625" style="137" customWidth="1"/>
    <col min="5890" max="5890" width="24" style="137" customWidth="1"/>
    <col min="5891" max="5891" width="11.140625" style="137" customWidth="1"/>
    <col min="5892" max="5892" width="8.85546875" style="137" customWidth="1"/>
    <col min="5893" max="5893" width="10.85546875" style="137" customWidth="1"/>
    <col min="5894" max="5894" width="8.42578125" style="137" customWidth="1"/>
    <col min="5895" max="5895" width="12.140625" style="137" bestFit="1" customWidth="1"/>
    <col min="5896" max="5896" width="12.140625" style="137" customWidth="1"/>
    <col min="5897" max="5897" width="10.85546875" style="137" customWidth="1"/>
    <col min="5898" max="5900" width="0" style="137" hidden="1" customWidth="1"/>
    <col min="5901" max="5901" width="11.28515625" style="137" customWidth="1"/>
    <col min="5902" max="5902" width="10" style="137" customWidth="1"/>
    <col min="5903" max="5903" width="9.28515625" style="137" customWidth="1"/>
    <col min="5904" max="5904" width="10.7109375" style="137" customWidth="1"/>
    <col min="5905" max="5905" width="8.28515625" style="137" customWidth="1"/>
    <col min="5906" max="5906" width="10.7109375" style="137" customWidth="1"/>
    <col min="5907" max="5907" width="10" style="137" customWidth="1"/>
    <col min="5908" max="5908" width="9.7109375" style="137" customWidth="1"/>
    <col min="5909" max="5909" width="8.85546875" style="137"/>
    <col min="5910" max="5910" width="9.5703125" style="137" customWidth="1"/>
    <col min="5911" max="5911" width="8.85546875" style="137"/>
    <col min="5912" max="5912" width="10.85546875" style="137" customWidth="1"/>
    <col min="5913" max="5913" width="12.28515625" style="137" customWidth="1"/>
    <col min="5914" max="6144" width="8.85546875" style="137"/>
    <col min="6145" max="6145" width="6.140625" style="137" customWidth="1"/>
    <col min="6146" max="6146" width="24" style="137" customWidth="1"/>
    <col min="6147" max="6147" width="11.140625" style="137" customWidth="1"/>
    <col min="6148" max="6148" width="8.85546875" style="137" customWidth="1"/>
    <col min="6149" max="6149" width="10.85546875" style="137" customWidth="1"/>
    <col min="6150" max="6150" width="8.42578125" style="137" customWidth="1"/>
    <col min="6151" max="6151" width="12.140625" style="137" bestFit="1" customWidth="1"/>
    <col min="6152" max="6152" width="12.140625" style="137" customWidth="1"/>
    <col min="6153" max="6153" width="10.85546875" style="137" customWidth="1"/>
    <col min="6154" max="6156" width="0" style="137" hidden="1" customWidth="1"/>
    <col min="6157" max="6157" width="11.28515625" style="137" customWidth="1"/>
    <col min="6158" max="6158" width="10" style="137" customWidth="1"/>
    <col min="6159" max="6159" width="9.28515625" style="137" customWidth="1"/>
    <col min="6160" max="6160" width="10.7109375" style="137" customWidth="1"/>
    <col min="6161" max="6161" width="8.28515625" style="137" customWidth="1"/>
    <col min="6162" max="6162" width="10.7109375" style="137" customWidth="1"/>
    <col min="6163" max="6163" width="10" style="137" customWidth="1"/>
    <col min="6164" max="6164" width="9.7109375" style="137" customWidth="1"/>
    <col min="6165" max="6165" width="8.85546875" style="137"/>
    <col min="6166" max="6166" width="9.5703125" style="137" customWidth="1"/>
    <col min="6167" max="6167" width="8.85546875" style="137"/>
    <col min="6168" max="6168" width="10.85546875" style="137" customWidth="1"/>
    <col min="6169" max="6169" width="12.28515625" style="137" customWidth="1"/>
    <col min="6170" max="6400" width="8.85546875" style="137"/>
    <col min="6401" max="6401" width="6.140625" style="137" customWidth="1"/>
    <col min="6402" max="6402" width="24" style="137" customWidth="1"/>
    <col min="6403" max="6403" width="11.140625" style="137" customWidth="1"/>
    <col min="6404" max="6404" width="8.85546875" style="137" customWidth="1"/>
    <col min="6405" max="6405" width="10.85546875" style="137" customWidth="1"/>
    <col min="6406" max="6406" width="8.42578125" style="137" customWidth="1"/>
    <col min="6407" max="6407" width="12.140625" style="137" bestFit="1" customWidth="1"/>
    <col min="6408" max="6408" width="12.140625" style="137" customWidth="1"/>
    <col min="6409" max="6409" width="10.85546875" style="137" customWidth="1"/>
    <col min="6410" max="6412" width="0" style="137" hidden="1" customWidth="1"/>
    <col min="6413" max="6413" width="11.28515625" style="137" customWidth="1"/>
    <col min="6414" max="6414" width="10" style="137" customWidth="1"/>
    <col min="6415" max="6415" width="9.28515625" style="137" customWidth="1"/>
    <col min="6416" max="6416" width="10.7109375" style="137" customWidth="1"/>
    <col min="6417" max="6417" width="8.28515625" style="137" customWidth="1"/>
    <col min="6418" max="6418" width="10.7109375" style="137" customWidth="1"/>
    <col min="6419" max="6419" width="10" style="137" customWidth="1"/>
    <col min="6420" max="6420" width="9.7109375" style="137" customWidth="1"/>
    <col min="6421" max="6421" width="8.85546875" style="137"/>
    <col min="6422" max="6422" width="9.5703125" style="137" customWidth="1"/>
    <col min="6423" max="6423" width="8.85546875" style="137"/>
    <col min="6424" max="6424" width="10.85546875" style="137" customWidth="1"/>
    <col min="6425" max="6425" width="12.28515625" style="137" customWidth="1"/>
    <col min="6426" max="6656" width="8.85546875" style="137"/>
    <col min="6657" max="6657" width="6.140625" style="137" customWidth="1"/>
    <col min="6658" max="6658" width="24" style="137" customWidth="1"/>
    <col min="6659" max="6659" width="11.140625" style="137" customWidth="1"/>
    <col min="6660" max="6660" width="8.85546875" style="137" customWidth="1"/>
    <col min="6661" max="6661" width="10.85546875" style="137" customWidth="1"/>
    <col min="6662" max="6662" width="8.42578125" style="137" customWidth="1"/>
    <col min="6663" max="6663" width="12.140625" style="137" bestFit="1" customWidth="1"/>
    <col min="6664" max="6664" width="12.140625" style="137" customWidth="1"/>
    <col min="6665" max="6665" width="10.85546875" style="137" customWidth="1"/>
    <col min="6666" max="6668" width="0" style="137" hidden="1" customWidth="1"/>
    <col min="6669" max="6669" width="11.28515625" style="137" customWidth="1"/>
    <col min="6670" max="6670" width="10" style="137" customWidth="1"/>
    <col min="6671" max="6671" width="9.28515625" style="137" customWidth="1"/>
    <col min="6672" max="6672" width="10.7109375" style="137" customWidth="1"/>
    <col min="6673" max="6673" width="8.28515625" style="137" customWidth="1"/>
    <col min="6674" max="6674" width="10.7109375" style="137" customWidth="1"/>
    <col min="6675" max="6675" width="10" style="137" customWidth="1"/>
    <col min="6676" max="6676" width="9.7109375" style="137" customWidth="1"/>
    <col min="6677" max="6677" width="8.85546875" style="137"/>
    <col min="6678" max="6678" width="9.5703125" style="137" customWidth="1"/>
    <col min="6679" max="6679" width="8.85546875" style="137"/>
    <col min="6680" max="6680" width="10.85546875" style="137" customWidth="1"/>
    <col min="6681" max="6681" width="12.28515625" style="137" customWidth="1"/>
    <col min="6682" max="6912" width="8.85546875" style="137"/>
    <col min="6913" max="6913" width="6.140625" style="137" customWidth="1"/>
    <col min="6914" max="6914" width="24" style="137" customWidth="1"/>
    <col min="6915" max="6915" width="11.140625" style="137" customWidth="1"/>
    <col min="6916" max="6916" width="8.85546875" style="137" customWidth="1"/>
    <col min="6917" max="6917" width="10.85546875" style="137" customWidth="1"/>
    <col min="6918" max="6918" width="8.42578125" style="137" customWidth="1"/>
    <col min="6919" max="6919" width="12.140625" style="137" bestFit="1" customWidth="1"/>
    <col min="6920" max="6920" width="12.140625" style="137" customWidth="1"/>
    <col min="6921" max="6921" width="10.85546875" style="137" customWidth="1"/>
    <col min="6922" max="6924" width="0" style="137" hidden="1" customWidth="1"/>
    <col min="6925" max="6925" width="11.28515625" style="137" customWidth="1"/>
    <col min="6926" max="6926" width="10" style="137" customWidth="1"/>
    <col min="6927" max="6927" width="9.28515625" style="137" customWidth="1"/>
    <col min="6928" max="6928" width="10.7109375" style="137" customWidth="1"/>
    <col min="6929" max="6929" width="8.28515625" style="137" customWidth="1"/>
    <col min="6930" max="6930" width="10.7109375" style="137" customWidth="1"/>
    <col min="6931" max="6931" width="10" style="137" customWidth="1"/>
    <col min="6932" max="6932" width="9.7109375" style="137" customWidth="1"/>
    <col min="6933" max="6933" width="8.85546875" style="137"/>
    <col min="6934" max="6934" width="9.5703125" style="137" customWidth="1"/>
    <col min="6935" max="6935" width="8.85546875" style="137"/>
    <col min="6936" max="6936" width="10.85546875" style="137" customWidth="1"/>
    <col min="6937" max="6937" width="12.28515625" style="137" customWidth="1"/>
    <col min="6938" max="7168" width="8.85546875" style="137"/>
    <col min="7169" max="7169" width="6.140625" style="137" customWidth="1"/>
    <col min="7170" max="7170" width="24" style="137" customWidth="1"/>
    <col min="7171" max="7171" width="11.140625" style="137" customWidth="1"/>
    <col min="7172" max="7172" width="8.85546875" style="137" customWidth="1"/>
    <col min="7173" max="7173" width="10.85546875" style="137" customWidth="1"/>
    <col min="7174" max="7174" width="8.42578125" style="137" customWidth="1"/>
    <col min="7175" max="7175" width="12.140625" style="137" bestFit="1" customWidth="1"/>
    <col min="7176" max="7176" width="12.140625" style="137" customWidth="1"/>
    <col min="7177" max="7177" width="10.85546875" style="137" customWidth="1"/>
    <col min="7178" max="7180" width="0" style="137" hidden="1" customWidth="1"/>
    <col min="7181" max="7181" width="11.28515625" style="137" customWidth="1"/>
    <col min="7182" max="7182" width="10" style="137" customWidth="1"/>
    <col min="7183" max="7183" width="9.28515625" style="137" customWidth="1"/>
    <col min="7184" max="7184" width="10.7109375" style="137" customWidth="1"/>
    <col min="7185" max="7185" width="8.28515625" style="137" customWidth="1"/>
    <col min="7186" max="7186" width="10.7109375" style="137" customWidth="1"/>
    <col min="7187" max="7187" width="10" style="137" customWidth="1"/>
    <col min="7188" max="7188" width="9.7109375" style="137" customWidth="1"/>
    <col min="7189" max="7189" width="8.85546875" style="137"/>
    <col min="7190" max="7190" width="9.5703125" style="137" customWidth="1"/>
    <col min="7191" max="7191" width="8.85546875" style="137"/>
    <col min="7192" max="7192" width="10.85546875" style="137" customWidth="1"/>
    <col min="7193" max="7193" width="12.28515625" style="137" customWidth="1"/>
    <col min="7194" max="7424" width="8.85546875" style="137"/>
    <col min="7425" max="7425" width="6.140625" style="137" customWidth="1"/>
    <col min="7426" max="7426" width="24" style="137" customWidth="1"/>
    <col min="7427" max="7427" width="11.140625" style="137" customWidth="1"/>
    <col min="7428" max="7428" width="8.85546875" style="137" customWidth="1"/>
    <col min="7429" max="7429" width="10.85546875" style="137" customWidth="1"/>
    <col min="7430" max="7430" width="8.42578125" style="137" customWidth="1"/>
    <col min="7431" max="7431" width="12.140625" style="137" bestFit="1" customWidth="1"/>
    <col min="7432" max="7432" width="12.140625" style="137" customWidth="1"/>
    <col min="7433" max="7433" width="10.85546875" style="137" customWidth="1"/>
    <col min="7434" max="7436" width="0" style="137" hidden="1" customWidth="1"/>
    <col min="7437" max="7437" width="11.28515625" style="137" customWidth="1"/>
    <col min="7438" max="7438" width="10" style="137" customWidth="1"/>
    <col min="7439" max="7439" width="9.28515625" style="137" customWidth="1"/>
    <col min="7440" max="7440" width="10.7109375" style="137" customWidth="1"/>
    <col min="7441" max="7441" width="8.28515625" style="137" customWidth="1"/>
    <col min="7442" max="7442" width="10.7109375" style="137" customWidth="1"/>
    <col min="7443" max="7443" width="10" style="137" customWidth="1"/>
    <col min="7444" max="7444" width="9.7109375" style="137" customWidth="1"/>
    <col min="7445" max="7445" width="8.85546875" style="137"/>
    <col min="7446" max="7446" width="9.5703125" style="137" customWidth="1"/>
    <col min="7447" max="7447" width="8.85546875" style="137"/>
    <col min="7448" max="7448" width="10.85546875" style="137" customWidth="1"/>
    <col min="7449" max="7449" width="12.28515625" style="137" customWidth="1"/>
    <col min="7450" max="7680" width="8.85546875" style="137"/>
    <col min="7681" max="7681" width="6.140625" style="137" customWidth="1"/>
    <col min="7682" max="7682" width="24" style="137" customWidth="1"/>
    <col min="7683" max="7683" width="11.140625" style="137" customWidth="1"/>
    <col min="7684" max="7684" width="8.85546875" style="137" customWidth="1"/>
    <col min="7685" max="7685" width="10.85546875" style="137" customWidth="1"/>
    <col min="7686" max="7686" width="8.42578125" style="137" customWidth="1"/>
    <col min="7687" max="7687" width="12.140625" style="137" bestFit="1" customWidth="1"/>
    <col min="7688" max="7688" width="12.140625" style="137" customWidth="1"/>
    <col min="7689" max="7689" width="10.85546875" style="137" customWidth="1"/>
    <col min="7690" max="7692" width="0" style="137" hidden="1" customWidth="1"/>
    <col min="7693" max="7693" width="11.28515625" style="137" customWidth="1"/>
    <col min="7694" max="7694" width="10" style="137" customWidth="1"/>
    <col min="7695" max="7695" width="9.28515625" style="137" customWidth="1"/>
    <col min="7696" max="7696" width="10.7109375" style="137" customWidth="1"/>
    <col min="7697" max="7697" width="8.28515625" style="137" customWidth="1"/>
    <col min="7698" max="7698" width="10.7109375" style="137" customWidth="1"/>
    <col min="7699" max="7699" width="10" style="137" customWidth="1"/>
    <col min="7700" max="7700" width="9.7109375" style="137" customWidth="1"/>
    <col min="7701" max="7701" width="8.85546875" style="137"/>
    <col min="7702" max="7702" width="9.5703125" style="137" customWidth="1"/>
    <col min="7703" max="7703" width="8.85546875" style="137"/>
    <col min="7704" max="7704" width="10.85546875" style="137" customWidth="1"/>
    <col min="7705" max="7705" width="12.28515625" style="137" customWidth="1"/>
    <col min="7706" max="7936" width="8.85546875" style="137"/>
    <col min="7937" max="7937" width="6.140625" style="137" customWidth="1"/>
    <col min="7938" max="7938" width="24" style="137" customWidth="1"/>
    <col min="7939" max="7939" width="11.140625" style="137" customWidth="1"/>
    <col min="7940" max="7940" width="8.85546875" style="137" customWidth="1"/>
    <col min="7941" max="7941" width="10.85546875" style="137" customWidth="1"/>
    <col min="7942" max="7942" width="8.42578125" style="137" customWidth="1"/>
    <col min="7943" max="7943" width="12.140625" style="137" bestFit="1" customWidth="1"/>
    <col min="7944" max="7944" width="12.140625" style="137" customWidth="1"/>
    <col min="7945" max="7945" width="10.85546875" style="137" customWidth="1"/>
    <col min="7946" max="7948" width="0" style="137" hidden="1" customWidth="1"/>
    <col min="7949" max="7949" width="11.28515625" style="137" customWidth="1"/>
    <col min="7950" max="7950" width="10" style="137" customWidth="1"/>
    <col min="7951" max="7951" width="9.28515625" style="137" customWidth="1"/>
    <col min="7952" max="7952" width="10.7109375" style="137" customWidth="1"/>
    <col min="7953" max="7953" width="8.28515625" style="137" customWidth="1"/>
    <col min="7954" max="7954" width="10.7109375" style="137" customWidth="1"/>
    <col min="7955" max="7955" width="10" style="137" customWidth="1"/>
    <col min="7956" max="7956" width="9.7109375" style="137" customWidth="1"/>
    <col min="7957" max="7957" width="8.85546875" style="137"/>
    <col min="7958" max="7958" width="9.5703125" style="137" customWidth="1"/>
    <col min="7959" max="7959" width="8.85546875" style="137"/>
    <col min="7960" max="7960" width="10.85546875" style="137" customWidth="1"/>
    <col min="7961" max="7961" width="12.28515625" style="137" customWidth="1"/>
    <col min="7962" max="8192" width="8.85546875" style="137"/>
    <col min="8193" max="8193" width="6.140625" style="137" customWidth="1"/>
    <col min="8194" max="8194" width="24" style="137" customWidth="1"/>
    <col min="8195" max="8195" width="11.140625" style="137" customWidth="1"/>
    <col min="8196" max="8196" width="8.85546875" style="137" customWidth="1"/>
    <col min="8197" max="8197" width="10.85546875" style="137" customWidth="1"/>
    <col min="8198" max="8198" width="8.42578125" style="137" customWidth="1"/>
    <col min="8199" max="8199" width="12.140625" style="137" bestFit="1" customWidth="1"/>
    <col min="8200" max="8200" width="12.140625" style="137" customWidth="1"/>
    <col min="8201" max="8201" width="10.85546875" style="137" customWidth="1"/>
    <col min="8202" max="8204" width="0" style="137" hidden="1" customWidth="1"/>
    <col min="8205" max="8205" width="11.28515625" style="137" customWidth="1"/>
    <col min="8206" max="8206" width="10" style="137" customWidth="1"/>
    <col min="8207" max="8207" width="9.28515625" style="137" customWidth="1"/>
    <col min="8208" max="8208" width="10.7109375" style="137" customWidth="1"/>
    <col min="8209" max="8209" width="8.28515625" style="137" customWidth="1"/>
    <col min="8210" max="8210" width="10.7109375" style="137" customWidth="1"/>
    <col min="8211" max="8211" width="10" style="137" customWidth="1"/>
    <col min="8212" max="8212" width="9.7109375" style="137" customWidth="1"/>
    <col min="8213" max="8213" width="8.85546875" style="137"/>
    <col min="8214" max="8214" width="9.5703125" style="137" customWidth="1"/>
    <col min="8215" max="8215" width="8.85546875" style="137"/>
    <col min="8216" max="8216" width="10.85546875" style="137" customWidth="1"/>
    <col min="8217" max="8217" width="12.28515625" style="137" customWidth="1"/>
    <col min="8218" max="8448" width="8.85546875" style="137"/>
    <col min="8449" max="8449" width="6.140625" style="137" customWidth="1"/>
    <col min="8450" max="8450" width="24" style="137" customWidth="1"/>
    <col min="8451" max="8451" width="11.140625" style="137" customWidth="1"/>
    <col min="8452" max="8452" width="8.85546875" style="137" customWidth="1"/>
    <col min="8453" max="8453" width="10.85546875" style="137" customWidth="1"/>
    <col min="8454" max="8454" width="8.42578125" style="137" customWidth="1"/>
    <col min="8455" max="8455" width="12.140625" style="137" bestFit="1" customWidth="1"/>
    <col min="8456" max="8456" width="12.140625" style="137" customWidth="1"/>
    <col min="8457" max="8457" width="10.85546875" style="137" customWidth="1"/>
    <col min="8458" max="8460" width="0" style="137" hidden="1" customWidth="1"/>
    <col min="8461" max="8461" width="11.28515625" style="137" customWidth="1"/>
    <col min="8462" max="8462" width="10" style="137" customWidth="1"/>
    <col min="8463" max="8463" width="9.28515625" style="137" customWidth="1"/>
    <col min="8464" max="8464" width="10.7109375" style="137" customWidth="1"/>
    <col min="8465" max="8465" width="8.28515625" style="137" customWidth="1"/>
    <col min="8466" max="8466" width="10.7109375" style="137" customWidth="1"/>
    <col min="8467" max="8467" width="10" style="137" customWidth="1"/>
    <col min="8468" max="8468" width="9.7109375" style="137" customWidth="1"/>
    <col min="8469" max="8469" width="8.85546875" style="137"/>
    <col min="8470" max="8470" width="9.5703125" style="137" customWidth="1"/>
    <col min="8471" max="8471" width="8.85546875" style="137"/>
    <col min="8472" max="8472" width="10.85546875" style="137" customWidth="1"/>
    <col min="8473" max="8473" width="12.28515625" style="137" customWidth="1"/>
    <col min="8474" max="8704" width="8.85546875" style="137"/>
    <col min="8705" max="8705" width="6.140625" style="137" customWidth="1"/>
    <col min="8706" max="8706" width="24" style="137" customWidth="1"/>
    <col min="8707" max="8707" width="11.140625" style="137" customWidth="1"/>
    <col min="8708" max="8708" width="8.85546875" style="137" customWidth="1"/>
    <col min="8709" max="8709" width="10.85546875" style="137" customWidth="1"/>
    <col min="8710" max="8710" width="8.42578125" style="137" customWidth="1"/>
    <col min="8711" max="8711" width="12.140625" style="137" bestFit="1" customWidth="1"/>
    <col min="8712" max="8712" width="12.140625" style="137" customWidth="1"/>
    <col min="8713" max="8713" width="10.85546875" style="137" customWidth="1"/>
    <col min="8714" max="8716" width="0" style="137" hidden="1" customWidth="1"/>
    <col min="8717" max="8717" width="11.28515625" style="137" customWidth="1"/>
    <col min="8718" max="8718" width="10" style="137" customWidth="1"/>
    <col min="8719" max="8719" width="9.28515625" style="137" customWidth="1"/>
    <col min="8720" max="8720" width="10.7109375" style="137" customWidth="1"/>
    <col min="8721" max="8721" width="8.28515625" style="137" customWidth="1"/>
    <col min="8722" max="8722" width="10.7109375" style="137" customWidth="1"/>
    <col min="8723" max="8723" width="10" style="137" customWidth="1"/>
    <col min="8724" max="8724" width="9.7109375" style="137" customWidth="1"/>
    <col min="8725" max="8725" width="8.85546875" style="137"/>
    <col min="8726" max="8726" width="9.5703125" style="137" customWidth="1"/>
    <col min="8727" max="8727" width="8.85546875" style="137"/>
    <col min="8728" max="8728" width="10.85546875" style="137" customWidth="1"/>
    <col min="8729" max="8729" width="12.28515625" style="137" customWidth="1"/>
    <col min="8730" max="8960" width="8.85546875" style="137"/>
    <col min="8961" max="8961" width="6.140625" style="137" customWidth="1"/>
    <col min="8962" max="8962" width="24" style="137" customWidth="1"/>
    <col min="8963" max="8963" width="11.140625" style="137" customWidth="1"/>
    <col min="8964" max="8964" width="8.85546875" style="137" customWidth="1"/>
    <col min="8965" max="8965" width="10.85546875" style="137" customWidth="1"/>
    <col min="8966" max="8966" width="8.42578125" style="137" customWidth="1"/>
    <col min="8967" max="8967" width="12.140625" style="137" bestFit="1" customWidth="1"/>
    <col min="8968" max="8968" width="12.140625" style="137" customWidth="1"/>
    <col min="8969" max="8969" width="10.85546875" style="137" customWidth="1"/>
    <col min="8970" max="8972" width="0" style="137" hidden="1" customWidth="1"/>
    <col min="8973" max="8973" width="11.28515625" style="137" customWidth="1"/>
    <col min="8974" max="8974" width="10" style="137" customWidth="1"/>
    <col min="8975" max="8975" width="9.28515625" style="137" customWidth="1"/>
    <col min="8976" max="8976" width="10.7109375" style="137" customWidth="1"/>
    <col min="8977" max="8977" width="8.28515625" style="137" customWidth="1"/>
    <col min="8978" max="8978" width="10.7109375" style="137" customWidth="1"/>
    <col min="8979" max="8979" width="10" style="137" customWidth="1"/>
    <col min="8980" max="8980" width="9.7109375" style="137" customWidth="1"/>
    <col min="8981" max="8981" width="8.85546875" style="137"/>
    <col min="8982" max="8982" width="9.5703125" style="137" customWidth="1"/>
    <col min="8983" max="8983" width="8.85546875" style="137"/>
    <col min="8984" max="8984" width="10.85546875" style="137" customWidth="1"/>
    <col min="8985" max="8985" width="12.28515625" style="137" customWidth="1"/>
    <col min="8986" max="9216" width="8.85546875" style="137"/>
    <col min="9217" max="9217" width="6.140625" style="137" customWidth="1"/>
    <col min="9218" max="9218" width="24" style="137" customWidth="1"/>
    <col min="9219" max="9219" width="11.140625" style="137" customWidth="1"/>
    <col min="9220" max="9220" width="8.85546875" style="137" customWidth="1"/>
    <col min="9221" max="9221" width="10.85546875" style="137" customWidth="1"/>
    <col min="9222" max="9222" width="8.42578125" style="137" customWidth="1"/>
    <col min="9223" max="9223" width="12.140625" style="137" bestFit="1" customWidth="1"/>
    <col min="9224" max="9224" width="12.140625" style="137" customWidth="1"/>
    <col min="9225" max="9225" width="10.85546875" style="137" customWidth="1"/>
    <col min="9226" max="9228" width="0" style="137" hidden="1" customWidth="1"/>
    <col min="9229" max="9229" width="11.28515625" style="137" customWidth="1"/>
    <col min="9230" max="9230" width="10" style="137" customWidth="1"/>
    <col min="9231" max="9231" width="9.28515625" style="137" customWidth="1"/>
    <col min="9232" max="9232" width="10.7109375" style="137" customWidth="1"/>
    <col min="9233" max="9233" width="8.28515625" style="137" customWidth="1"/>
    <col min="9234" max="9234" width="10.7109375" style="137" customWidth="1"/>
    <col min="9235" max="9235" width="10" style="137" customWidth="1"/>
    <col min="9236" max="9236" width="9.7109375" style="137" customWidth="1"/>
    <col min="9237" max="9237" width="8.85546875" style="137"/>
    <col min="9238" max="9238" width="9.5703125" style="137" customWidth="1"/>
    <col min="9239" max="9239" width="8.85546875" style="137"/>
    <col min="9240" max="9240" width="10.85546875" style="137" customWidth="1"/>
    <col min="9241" max="9241" width="12.28515625" style="137" customWidth="1"/>
    <col min="9242" max="9472" width="8.85546875" style="137"/>
    <col min="9473" max="9473" width="6.140625" style="137" customWidth="1"/>
    <col min="9474" max="9474" width="24" style="137" customWidth="1"/>
    <col min="9475" max="9475" width="11.140625" style="137" customWidth="1"/>
    <col min="9476" max="9476" width="8.85546875" style="137" customWidth="1"/>
    <col min="9477" max="9477" width="10.85546875" style="137" customWidth="1"/>
    <col min="9478" max="9478" width="8.42578125" style="137" customWidth="1"/>
    <col min="9479" max="9479" width="12.140625" style="137" bestFit="1" customWidth="1"/>
    <col min="9480" max="9480" width="12.140625" style="137" customWidth="1"/>
    <col min="9481" max="9481" width="10.85546875" style="137" customWidth="1"/>
    <col min="9482" max="9484" width="0" style="137" hidden="1" customWidth="1"/>
    <col min="9485" max="9485" width="11.28515625" style="137" customWidth="1"/>
    <col min="9486" max="9486" width="10" style="137" customWidth="1"/>
    <col min="9487" max="9487" width="9.28515625" style="137" customWidth="1"/>
    <col min="9488" max="9488" width="10.7109375" style="137" customWidth="1"/>
    <col min="9489" max="9489" width="8.28515625" style="137" customWidth="1"/>
    <col min="9490" max="9490" width="10.7109375" style="137" customWidth="1"/>
    <col min="9491" max="9491" width="10" style="137" customWidth="1"/>
    <col min="9492" max="9492" width="9.7109375" style="137" customWidth="1"/>
    <col min="9493" max="9493" width="8.85546875" style="137"/>
    <col min="9494" max="9494" width="9.5703125" style="137" customWidth="1"/>
    <col min="9495" max="9495" width="8.85546875" style="137"/>
    <col min="9496" max="9496" width="10.85546875" style="137" customWidth="1"/>
    <col min="9497" max="9497" width="12.28515625" style="137" customWidth="1"/>
    <col min="9498" max="9728" width="8.85546875" style="137"/>
    <col min="9729" max="9729" width="6.140625" style="137" customWidth="1"/>
    <col min="9730" max="9730" width="24" style="137" customWidth="1"/>
    <col min="9731" max="9731" width="11.140625" style="137" customWidth="1"/>
    <col min="9732" max="9732" width="8.85546875" style="137" customWidth="1"/>
    <col min="9733" max="9733" width="10.85546875" style="137" customWidth="1"/>
    <col min="9734" max="9734" width="8.42578125" style="137" customWidth="1"/>
    <col min="9735" max="9735" width="12.140625" style="137" bestFit="1" customWidth="1"/>
    <col min="9736" max="9736" width="12.140625" style="137" customWidth="1"/>
    <col min="9737" max="9737" width="10.85546875" style="137" customWidth="1"/>
    <col min="9738" max="9740" width="0" style="137" hidden="1" customWidth="1"/>
    <col min="9741" max="9741" width="11.28515625" style="137" customWidth="1"/>
    <col min="9742" max="9742" width="10" style="137" customWidth="1"/>
    <col min="9743" max="9743" width="9.28515625" style="137" customWidth="1"/>
    <col min="9744" max="9744" width="10.7109375" style="137" customWidth="1"/>
    <col min="9745" max="9745" width="8.28515625" style="137" customWidth="1"/>
    <col min="9746" max="9746" width="10.7109375" style="137" customWidth="1"/>
    <col min="9747" max="9747" width="10" style="137" customWidth="1"/>
    <col min="9748" max="9748" width="9.7109375" style="137" customWidth="1"/>
    <col min="9749" max="9749" width="8.85546875" style="137"/>
    <col min="9750" max="9750" width="9.5703125" style="137" customWidth="1"/>
    <col min="9751" max="9751" width="8.85546875" style="137"/>
    <col min="9752" max="9752" width="10.85546875" style="137" customWidth="1"/>
    <col min="9753" max="9753" width="12.28515625" style="137" customWidth="1"/>
    <col min="9754" max="9984" width="8.85546875" style="137"/>
    <col min="9985" max="9985" width="6.140625" style="137" customWidth="1"/>
    <col min="9986" max="9986" width="24" style="137" customWidth="1"/>
    <col min="9987" max="9987" width="11.140625" style="137" customWidth="1"/>
    <col min="9988" max="9988" width="8.85546875" style="137" customWidth="1"/>
    <col min="9989" max="9989" width="10.85546875" style="137" customWidth="1"/>
    <col min="9990" max="9990" width="8.42578125" style="137" customWidth="1"/>
    <col min="9991" max="9991" width="12.140625" style="137" bestFit="1" customWidth="1"/>
    <col min="9992" max="9992" width="12.140625" style="137" customWidth="1"/>
    <col min="9993" max="9993" width="10.85546875" style="137" customWidth="1"/>
    <col min="9994" max="9996" width="0" style="137" hidden="1" customWidth="1"/>
    <col min="9997" max="9997" width="11.28515625" style="137" customWidth="1"/>
    <col min="9998" max="9998" width="10" style="137" customWidth="1"/>
    <col min="9999" max="9999" width="9.28515625" style="137" customWidth="1"/>
    <col min="10000" max="10000" width="10.7109375" style="137" customWidth="1"/>
    <col min="10001" max="10001" width="8.28515625" style="137" customWidth="1"/>
    <col min="10002" max="10002" width="10.7109375" style="137" customWidth="1"/>
    <col min="10003" max="10003" width="10" style="137" customWidth="1"/>
    <col min="10004" max="10004" width="9.7109375" style="137" customWidth="1"/>
    <col min="10005" max="10005" width="8.85546875" style="137"/>
    <col min="10006" max="10006" width="9.5703125" style="137" customWidth="1"/>
    <col min="10007" max="10007" width="8.85546875" style="137"/>
    <col min="10008" max="10008" width="10.85546875" style="137" customWidth="1"/>
    <col min="10009" max="10009" width="12.28515625" style="137" customWidth="1"/>
    <col min="10010" max="10240" width="8.85546875" style="137"/>
    <col min="10241" max="10241" width="6.140625" style="137" customWidth="1"/>
    <col min="10242" max="10242" width="24" style="137" customWidth="1"/>
    <col min="10243" max="10243" width="11.140625" style="137" customWidth="1"/>
    <col min="10244" max="10244" width="8.85546875" style="137" customWidth="1"/>
    <col min="10245" max="10245" width="10.85546875" style="137" customWidth="1"/>
    <col min="10246" max="10246" width="8.42578125" style="137" customWidth="1"/>
    <col min="10247" max="10247" width="12.140625" style="137" bestFit="1" customWidth="1"/>
    <col min="10248" max="10248" width="12.140625" style="137" customWidth="1"/>
    <col min="10249" max="10249" width="10.85546875" style="137" customWidth="1"/>
    <col min="10250" max="10252" width="0" style="137" hidden="1" customWidth="1"/>
    <col min="10253" max="10253" width="11.28515625" style="137" customWidth="1"/>
    <col min="10254" max="10254" width="10" style="137" customWidth="1"/>
    <col min="10255" max="10255" width="9.28515625" style="137" customWidth="1"/>
    <col min="10256" max="10256" width="10.7109375" style="137" customWidth="1"/>
    <col min="10257" max="10257" width="8.28515625" style="137" customWidth="1"/>
    <col min="10258" max="10258" width="10.7109375" style="137" customWidth="1"/>
    <col min="10259" max="10259" width="10" style="137" customWidth="1"/>
    <col min="10260" max="10260" width="9.7109375" style="137" customWidth="1"/>
    <col min="10261" max="10261" width="8.85546875" style="137"/>
    <col min="10262" max="10262" width="9.5703125" style="137" customWidth="1"/>
    <col min="10263" max="10263" width="8.85546875" style="137"/>
    <col min="10264" max="10264" width="10.85546875" style="137" customWidth="1"/>
    <col min="10265" max="10265" width="12.28515625" style="137" customWidth="1"/>
    <col min="10266" max="10496" width="8.85546875" style="137"/>
    <col min="10497" max="10497" width="6.140625" style="137" customWidth="1"/>
    <col min="10498" max="10498" width="24" style="137" customWidth="1"/>
    <col min="10499" max="10499" width="11.140625" style="137" customWidth="1"/>
    <col min="10500" max="10500" width="8.85546875" style="137" customWidth="1"/>
    <col min="10501" max="10501" width="10.85546875" style="137" customWidth="1"/>
    <col min="10502" max="10502" width="8.42578125" style="137" customWidth="1"/>
    <col min="10503" max="10503" width="12.140625" style="137" bestFit="1" customWidth="1"/>
    <col min="10504" max="10504" width="12.140625" style="137" customWidth="1"/>
    <col min="10505" max="10505" width="10.85546875" style="137" customWidth="1"/>
    <col min="10506" max="10508" width="0" style="137" hidden="1" customWidth="1"/>
    <col min="10509" max="10509" width="11.28515625" style="137" customWidth="1"/>
    <col min="10510" max="10510" width="10" style="137" customWidth="1"/>
    <col min="10511" max="10511" width="9.28515625" style="137" customWidth="1"/>
    <col min="10512" max="10512" width="10.7109375" style="137" customWidth="1"/>
    <col min="10513" max="10513" width="8.28515625" style="137" customWidth="1"/>
    <col min="10514" max="10514" width="10.7109375" style="137" customWidth="1"/>
    <col min="10515" max="10515" width="10" style="137" customWidth="1"/>
    <col min="10516" max="10516" width="9.7109375" style="137" customWidth="1"/>
    <col min="10517" max="10517" width="8.85546875" style="137"/>
    <col min="10518" max="10518" width="9.5703125" style="137" customWidth="1"/>
    <col min="10519" max="10519" width="8.85546875" style="137"/>
    <col min="10520" max="10520" width="10.85546875" style="137" customWidth="1"/>
    <col min="10521" max="10521" width="12.28515625" style="137" customWidth="1"/>
    <col min="10522" max="10752" width="8.85546875" style="137"/>
    <col min="10753" max="10753" width="6.140625" style="137" customWidth="1"/>
    <col min="10754" max="10754" width="24" style="137" customWidth="1"/>
    <col min="10755" max="10755" width="11.140625" style="137" customWidth="1"/>
    <col min="10756" max="10756" width="8.85546875" style="137" customWidth="1"/>
    <col min="10757" max="10757" width="10.85546875" style="137" customWidth="1"/>
    <col min="10758" max="10758" width="8.42578125" style="137" customWidth="1"/>
    <col min="10759" max="10759" width="12.140625" style="137" bestFit="1" customWidth="1"/>
    <col min="10760" max="10760" width="12.140625" style="137" customWidth="1"/>
    <col min="10761" max="10761" width="10.85546875" style="137" customWidth="1"/>
    <col min="10762" max="10764" width="0" style="137" hidden="1" customWidth="1"/>
    <col min="10765" max="10765" width="11.28515625" style="137" customWidth="1"/>
    <col min="10766" max="10766" width="10" style="137" customWidth="1"/>
    <col min="10767" max="10767" width="9.28515625" style="137" customWidth="1"/>
    <col min="10768" max="10768" width="10.7109375" style="137" customWidth="1"/>
    <col min="10769" max="10769" width="8.28515625" style="137" customWidth="1"/>
    <col min="10770" max="10770" width="10.7109375" style="137" customWidth="1"/>
    <col min="10771" max="10771" width="10" style="137" customWidth="1"/>
    <col min="10772" max="10772" width="9.7109375" style="137" customWidth="1"/>
    <col min="10773" max="10773" width="8.85546875" style="137"/>
    <col min="10774" max="10774" width="9.5703125" style="137" customWidth="1"/>
    <col min="10775" max="10775" width="8.85546875" style="137"/>
    <col min="10776" max="10776" width="10.85546875" style="137" customWidth="1"/>
    <col min="10777" max="10777" width="12.28515625" style="137" customWidth="1"/>
    <col min="10778" max="11008" width="8.85546875" style="137"/>
    <col min="11009" max="11009" width="6.140625" style="137" customWidth="1"/>
    <col min="11010" max="11010" width="24" style="137" customWidth="1"/>
    <col min="11011" max="11011" width="11.140625" style="137" customWidth="1"/>
    <col min="11012" max="11012" width="8.85546875" style="137" customWidth="1"/>
    <col min="11013" max="11013" width="10.85546875" style="137" customWidth="1"/>
    <col min="11014" max="11014" width="8.42578125" style="137" customWidth="1"/>
    <col min="11015" max="11015" width="12.140625" style="137" bestFit="1" customWidth="1"/>
    <col min="11016" max="11016" width="12.140625" style="137" customWidth="1"/>
    <col min="11017" max="11017" width="10.85546875" style="137" customWidth="1"/>
    <col min="11018" max="11020" width="0" style="137" hidden="1" customWidth="1"/>
    <col min="11021" max="11021" width="11.28515625" style="137" customWidth="1"/>
    <col min="11022" max="11022" width="10" style="137" customWidth="1"/>
    <col min="11023" max="11023" width="9.28515625" style="137" customWidth="1"/>
    <col min="11024" max="11024" width="10.7109375" style="137" customWidth="1"/>
    <col min="11025" max="11025" width="8.28515625" style="137" customWidth="1"/>
    <col min="11026" max="11026" width="10.7109375" style="137" customWidth="1"/>
    <col min="11027" max="11027" width="10" style="137" customWidth="1"/>
    <col min="11028" max="11028" width="9.7109375" style="137" customWidth="1"/>
    <col min="11029" max="11029" width="8.85546875" style="137"/>
    <col min="11030" max="11030" width="9.5703125" style="137" customWidth="1"/>
    <col min="11031" max="11031" width="8.85546875" style="137"/>
    <col min="11032" max="11032" width="10.85546875" style="137" customWidth="1"/>
    <col min="11033" max="11033" width="12.28515625" style="137" customWidth="1"/>
    <col min="11034" max="11264" width="8.85546875" style="137"/>
    <col min="11265" max="11265" width="6.140625" style="137" customWidth="1"/>
    <col min="11266" max="11266" width="24" style="137" customWidth="1"/>
    <col min="11267" max="11267" width="11.140625" style="137" customWidth="1"/>
    <col min="11268" max="11268" width="8.85546875" style="137" customWidth="1"/>
    <col min="11269" max="11269" width="10.85546875" style="137" customWidth="1"/>
    <col min="11270" max="11270" width="8.42578125" style="137" customWidth="1"/>
    <col min="11271" max="11271" width="12.140625" style="137" bestFit="1" customWidth="1"/>
    <col min="11272" max="11272" width="12.140625" style="137" customWidth="1"/>
    <col min="11273" max="11273" width="10.85546875" style="137" customWidth="1"/>
    <col min="11274" max="11276" width="0" style="137" hidden="1" customWidth="1"/>
    <col min="11277" max="11277" width="11.28515625" style="137" customWidth="1"/>
    <col min="11278" max="11278" width="10" style="137" customWidth="1"/>
    <col min="11279" max="11279" width="9.28515625" style="137" customWidth="1"/>
    <col min="11280" max="11280" width="10.7109375" style="137" customWidth="1"/>
    <col min="11281" max="11281" width="8.28515625" style="137" customWidth="1"/>
    <col min="11282" max="11282" width="10.7109375" style="137" customWidth="1"/>
    <col min="11283" max="11283" width="10" style="137" customWidth="1"/>
    <col min="11284" max="11284" width="9.7109375" style="137" customWidth="1"/>
    <col min="11285" max="11285" width="8.85546875" style="137"/>
    <col min="11286" max="11286" width="9.5703125" style="137" customWidth="1"/>
    <col min="11287" max="11287" width="8.85546875" style="137"/>
    <col min="11288" max="11288" width="10.85546875" style="137" customWidth="1"/>
    <col min="11289" max="11289" width="12.28515625" style="137" customWidth="1"/>
    <col min="11290" max="11520" width="8.85546875" style="137"/>
    <col min="11521" max="11521" width="6.140625" style="137" customWidth="1"/>
    <col min="11522" max="11522" width="24" style="137" customWidth="1"/>
    <col min="11523" max="11523" width="11.140625" style="137" customWidth="1"/>
    <col min="11524" max="11524" width="8.85546875" style="137" customWidth="1"/>
    <col min="11525" max="11525" width="10.85546875" style="137" customWidth="1"/>
    <col min="11526" max="11526" width="8.42578125" style="137" customWidth="1"/>
    <col min="11527" max="11527" width="12.140625" style="137" bestFit="1" customWidth="1"/>
    <col min="11528" max="11528" width="12.140625" style="137" customWidth="1"/>
    <col min="11529" max="11529" width="10.85546875" style="137" customWidth="1"/>
    <col min="11530" max="11532" width="0" style="137" hidden="1" customWidth="1"/>
    <col min="11533" max="11533" width="11.28515625" style="137" customWidth="1"/>
    <col min="11534" max="11534" width="10" style="137" customWidth="1"/>
    <col min="11535" max="11535" width="9.28515625" style="137" customWidth="1"/>
    <col min="11536" max="11536" width="10.7109375" style="137" customWidth="1"/>
    <col min="11537" max="11537" width="8.28515625" style="137" customWidth="1"/>
    <col min="11538" max="11538" width="10.7109375" style="137" customWidth="1"/>
    <col min="11539" max="11539" width="10" style="137" customWidth="1"/>
    <col min="11540" max="11540" width="9.7109375" style="137" customWidth="1"/>
    <col min="11541" max="11541" width="8.85546875" style="137"/>
    <col min="11542" max="11542" width="9.5703125" style="137" customWidth="1"/>
    <col min="11543" max="11543" width="8.85546875" style="137"/>
    <col min="11544" max="11544" width="10.85546875" style="137" customWidth="1"/>
    <col min="11545" max="11545" width="12.28515625" style="137" customWidth="1"/>
    <col min="11546" max="11776" width="8.85546875" style="137"/>
    <col min="11777" max="11777" width="6.140625" style="137" customWidth="1"/>
    <col min="11778" max="11778" width="24" style="137" customWidth="1"/>
    <col min="11779" max="11779" width="11.140625" style="137" customWidth="1"/>
    <col min="11780" max="11780" width="8.85546875" style="137" customWidth="1"/>
    <col min="11781" max="11781" width="10.85546875" style="137" customWidth="1"/>
    <col min="11782" max="11782" width="8.42578125" style="137" customWidth="1"/>
    <col min="11783" max="11783" width="12.140625" style="137" bestFit="1" customWidth="1"/>
    <col min="11784" max="11784" width="12.140625" style="137" customWidth="1"/>
    <col min="11785" max="11785" width="10.85546875" style="137" customWidth="1"/>
    <col min="11786" max="11788" width="0" style="137" hidden="1" customWidth="1"/>
    <col min="11789" max="11789" width="11.28515625" style="137" customWidth="1"/>
    <col min="11790" max="11790" width="10" style="137" customWidth="1"/>
    <col min="11791" max="11791" width="9.28515625" style="137" customWidth="1"/>
    <col min="11792" max="11792" width="10.7109375" style="137" customWidth="1"/>
    <col min="11793" max="11793" width="8.28515625" style="137" customWidth="1"/>
    <col min="11794" max="11794" width="10.7109375" style="137" customWidth="1"/>
    <col min="11795" max="11795" width="10" style="137" customWidth="1"/>
    <col min="11796" max="11796" width="9.7109375" style="137" customWidth="1"/>
    <col min="11797" max="11797" width="8.85546875" style="137"/>
    <col min="11798" max="11798" width="9.5703125" style="137" customWidth="1"/>
    <col min="11799" max="11799" width="8.85546875" style="137"/>
    <col min="11800" max="11800" width="10.85546875" style="137" customWidth="1"/>
    <col min="11801" max="11801" width="12.28515625" style="137" customWidth="1"/>
    <col min="11802" max="12032" width="8.85546875" style="137"/>
    <col min="12033" max="12033" width="6.140625" style="137" customWidth="1"/>
    <col min="12034" max="12034" width="24" style="137" customWidth="1"/>
    <col min="12035" max="12035" width="11.140625" style="137" customWidth="1"/>
    <col min="12036" max="12036" width="8.85546875" style="137" customWidth="1"/>
    <col min="12037" max="12037" width="10.85546875" style="137" customWidth="1"/>
    <col min="12038" max="12038" width="8.42578125" style="137" customWidth="1"/>
    <col min="12039" max="12039" width="12.140625" style="137" bestFit="1" customWidth="1"/>
    <col min="12040" max="12040" width="12.140625" style="137" customWidth="1"/>
    <col min="12041" max="12041" width="10.85546875" style="137" customWidth="1"/>
    <col min="12042" max="12044" width="0" style="137" hidden="1" customWidth="1"/>
    <col min="12045" max="12045" width="11.28515625" style="137" customWidth="1"/>
    <col min="12046" max="12046" width="10" style="137" customWidth="1"/>
    <col min="12047" max="12047" width="9.28515625" style="137" customWidth="1"/>
    <col min="12048" max="12048" width="10.7109375" style="137" customWidth="1"/>
    <col min="12049" max="12049" width="8.28515625" style="137" customWidth="1"/>
    <col min="12050" max="12050" width="10.7109375" style="137" customWidth="1"/>
    <col min="12051" max="12051" width="10" style="137" customWidth="1"/>
    <col min="12052" max="12052" width="9.7109375" style="137" customWidth="1"/>
    <col min="12053" max="12053" width="8.85546875" style="137"/>
    <col min="12054" max="12054" width="9.5703125" style="137" customWidth="1"/>
    <col min="12055" max="12055" width="8.85546875" style="137"/>
    <col min="12056" max="12056" width="10.85546875" style="137" customWidth="1"/>
    <col min="12057" max="12057" width="12.28515625" style="137" customWidth="1"/>
    <col min="12058" max="12288" width="8.85546875" style="137"/>
    <col min="12289" max="12289" width="6.140625" style="137" customWidth="1"/>
    <col min="12290" max="12290" width="24" style="137" customWidth="1"/>
    <col min="12291" max="12291" width="11.140625" style="137" customWidth="1"/>
    <col min="12292" max="12292" width="8.85546875" style="137" customWidth="1"/>
    <col min="12293" max="12293" width="10.85546875" style="137" customWidth="1"/>
    <col min="12294" max="12294" width="8.42578125" style="137" customWidth="1"/>
    <col min="12295" max="12295" width="12.140625" style="137" bestFit="1" customWidth="1"/>
    <col min="12296" max="12296" width="12.140625" style="137" customWidth="1"/>
    <col min="12297" max="12297" width="10.85546875" style="137" customWidth="1"/>
    <col min="12298" max="12300" width="0" style="137" hidden="1" customWidth="1"/>
    <col min="12301" max="12301" width="11.28515625" style="137" customWidth="1"/>
    <col min="12302" max="12302" width="10" style="137" customWidth="1"/>
    <col min="12303" max="12303" width="9.28515625" style="137" customWidth="1"/>
    <col min="12304" max="12304" width="10.7109375" style="137" customWidth="1"/>
    <col min="12305" max="12305" width="8.28515625" style="137" customWidth="1"/>
    <col min="12306" max="12306" width="10.7109375" style="137" customWidth="1"/>
    <col min="12307" max="12307" width="10" style="137" customWidth="1"/>
    <col min="12308" max="12308" width="9.7109375" style="137" customWidth="1"/>
    <col min="12309" max="12309" width="8.85546875" style="137"/>
    <col min="12310" max="12310" width="9.5703125" style="137" customWidth="1"/>
    <col min="12311" max="12311" width="8.85546875" style="137"/>
    <col min="12312" max="12312" width="10.85546875" style="137" customWidth="1"/>
    <col min="12313" max="12313" width="12.28515625" style="137" customWidth="1"/>
    <col min="12314" max="12544" width="8.85546875" style="137"/>
    <col min="12545" max="12545" width="6.140625" style="137" customWidth="1"/>
    <col min="12546" max="12546" width="24" style="137" customWidth="1"/>
    <col min="12547" max="12547" width="11.140625" style="137" customWidth="1"/>
    <col min="12548" max="12548" width="8.85546875" style="137" customWidth="1"/>
    <col min="12549" max="12549" width="10.85546875" style="137" customWidth="1"/>
    <col min="12550" max="12550" width="8.42578125" style="137" customWidth="1"/>
    <col min="12551" max="12551" width="12.140625" style="137" bestFit="1" customWidth="1"/>
    <col min="12552" max="12552" width="12.140625" style="137" customWidth="1"/>
    <col min="12553" max="12553" width="10.85546875" style="137" customWidth="1"/>
    <col min="12554" max="12556" width="0" style="137" hidden="1" customWidth="1"/>
    <col min="12557" max="12557" width="11.28515625" style="137" customWidth="1"/>
    <col min="12558" max="12558" width="10" style="137" customWidth="1"/>
    <col min="12559" max="12559" width="9.28515625" style="137" customWidth="1"/>
    <col min="12560" max="12560" width="10.7109375" style="137" customWidth="1"/>
    <col min="12561" max="12561" width="8.28515625" style="137" customWidth="1"/>
    <col min="12562" max="12562" width="10.7109375" style="137" customWidth="1"/>
    <col min="12563" max="12563" width="10" style="137" customWidth="1"/>
    <col min="12564" max="12564" width="9.7109375" style="137" customWidth="1"/>
    <col min="12565" max="12565" width="8.85546875" style="137"/>
    <col min="12566" max="12566" width="9.5703125" style="137" customWidth="1"/>
    <col min="12567" max="12567" width="8.85546875" style="137"/>
    <col min="12568" max="12568" width="10.85546875" style="137" customWidth="1"/>
    <col min="12569" max="12569" width="12.28515625" style="137" customWidth="1"/>
    <col min="12570" max="12800" width="8.85546875" style="137"/>
    <col min="12801" max="12801" width="6.140625" style="137" customWidth="1"/>
    <col min="12802" max="12802" width="24" style="137" customWidth="1"/>
    <col min="12803" max="12803" width="11.140625" style="137" customWidth="1"/>
    <col min="12804" max="12804" width="8.85546875" style="137" customWidth="1"/>
    <col min="12805" max="12805" width="10.85546875" style="137" customWidth="1"/>
    <col min="12806" max="12806" width="8.42578125" style="137" customWidth="1"/>
    <col min="12807" max="12807" width="12.140625" style="137" bestFit="1" customWidth="1"/>
    <col min="12808" max="12808" width="12.140625" style="137" customWidth="1"/>
    <col min="12809" max="12809" width="10.85546875" style="137" customWidth="1"/>
    <col min="12810" max="12812" width="0" style="137" hidden="1" customWidth="1"/>
    <col min="12813" max="12813" width="11.28515625" style="137" customWidth="1"/>
    <col min="12814" max="12814" width="10" style="137" customWidth="1"/>
    <col min="12815" max="12815" width="9.28515625" style="137" customWidth="1"/>
    <col min="12816" max="12816" width="10.7109375" style="137" customWidth="1"/>
    <col min="12817" max="12817" width="8.28515625" style="137" customWidth="1"/>
    <col min="12818" max="12818" width="10.7109375" style="137" customWidth="1"/>
    <col min="12819" max="12819" width="10" style="137" customWidth="1"/>
    <col min="12820" max="12820" width="9.7109375" style="137" customWidth="1"/>
    <col min="12821" max="12821" width="8.85546875" style="137"/>
    <col min="12822" max="12822" width="9.5703125" style="137" customWidth="1"/>
    <col min="12823" max="12823" width="8.85546875" style="137"/>
    <col min="12824" max="12824" width="10.85546875" style="137" customWidth="1"/>
    <col min="12825" max="12825" width="12.28515625" style="137" customWidth="1"/>
    <col min="12826" max="13056" width="8.85546875" style="137"/>
    <col min="13057" max="13057" width="6.140625" style="137" customWidth="1"/>
    <col min="13058" max="13058" width="24" style="137" customWidth="1"/>
    <col min="13059" max="13059" width="11.140625" style="137" customWidth="1"/>
    <col min="13060" max="13060" width="8.85546875" style="137" customWidth="1"/>
    <col min="13061" max="13061" width="10.85546875" style="137" customWidth="1"/>
    <col min="13062" max="13062" width="8.42578125" style="137" customWidth="1"/>
    <col min="13063" max="13063" width="12.140625" style="137" bestFit="1" customWidth="1"/>
    <col min="13064" max="13064" width="12.140625" style="137" customWidth="1"/>
    <col min="13065" max="13065" width="10.85546875" style="137" customWidth="1"/>
    <col min="13066" max="13068" width="0" style="137" hidden="1" customWidth="1"/>
    <col min="13069" max="13069" width="11.28515625" style="137" customWidth="1"/>
    <col min="13070" max="13070" width="10" style="137" customWidth="1"/>
    <col min="13071" max="13071" width="9.28515625" style="137" customWidth="1"/>
    <col min="13072" max="13072" width="10.7109375" style="137" customWidth="1"/>
    <col min="13073" max="13073" width="8.28515625" style="137" customWidth="1"/>
    <col min="13074" max="13074" width="10.7109375" style="137" customWidth="1"/>
    <col min="13075" max="13075" width="10" style="137" customWidth="1"/>
    <col min="13076" max="13076" width="9.7109375" style="137" customWidth="1"/>
    <col min="13077" max="13077" width="8.85546875" style="137"/>
    <col min="13078" max="13078" width="9.5703125" style="137" customWidth="1"/>
    <col min="13079" max="13079" width="8.85546875" style="137"/>
    <col min="13080" max="13080" width="10.85546875" style="137" customWidth="1"/>
    <col min="13081" max="13081" width="12.28515625" style="137" customWidth="1"/>
    <col min="13082" max="13312" width="8.85546875" style="137"/>
    <col min="13313" max="13313" width="6.140625" style="137" customWidth="1"/>
    <col min="13314" max="13314" width="24" style="137" customWidth="1"/>
    <col min="13315" max="13315" width="11.140625" style="137" customWidth="1"/>
    <col min="13316" max="13316" width="8.85546875" style="137" customWidth="1"/>
    <col min="13317" max="13317" width="10.85546875" style="137" customWidth="1"/>
    <col min="13318" max="13318" width="8.42578125" style="137" customWidth="1"/>
    <col min="13319" max="13319" width="12.140625" style="137" bestFit="1" customWidth="1"/>
    <col min="13320" max="13320" width="12.140625" style="137" customWidth="1"/>
    <col min="13321" max="13321" width="10.85546875" style="137" customWidth="1"/>
    <col min="13322" max="13324" width="0" style="137" hidden="1" customWidth="1"/>
    <col min="13325" max="13325" width="11.28515625" style="137" customWidth="1"/>
    <col min="13326" max="13326" width="10" style="137" customWidth="1"/>
    <col min="13327" max="13327" width="9.28515625" style="137" customWidth="1"/>
    <col min="13328" max="13328" width="10.7109375" style="137" customWidth="1"/>
    <col min="13329" max="13329" width="8.28515625" style="137" customWidth="1"/>
    <col min="13330" max="13330" width="10.7109375" style="137" customWidth="1"/>
    <col min="13331" max="13331" width="10" style="137" customWidth="1"/>
    <col min="13332" max="13332" width="9.7109375" style="137" customWidth="1"/>
    <col min="13333" max="13333" width="8.85546875" style="137"/>
    <col min="13334" max="13334" width="9.5703125" style="137" customWidth="1"/>
    <col min="13335" max="13335" width="8.85546875" style="137"/>
    <col min="13336" max="13336" width="10.85546875" style="137" customWidth="1"/>
    <col min="13337" max="13337" width="12.28515625" style="137" customWidth="1"/>
    <col min="13338" max="13568" width="8.85546875" style="137"/>
    <col min="13569" max="13569" width="6.140625" style="137" customWidth="1"/>
    <col min="13570" max="13570" width="24" style="137" customWidth="1"/>
    <col min="13571" max="13571" width="11.140625" style="137" customWidth="1"/>
    <col min="13572" max="13572" width="8.85546875" style="137" customWidth="1"/>
    <col min="13573" max="13573" width="10.85546875" style="137" customWidth="1"/>
    <col min="13574" max="13574" width="8.42578125" style="137" customWidth="1"/>
    <col min="13575" max="13575" width="12.140625" style="137" bestFit="1" customWidth="1"/>
    <col min="13576" max="13576" width="12.140625" style="137" customWidth="1"/>
    <col min="13577" max="13577" width="10.85546875" style="137" customWidth="1"/>
    <col min="13578" max="13580" width="0" style="137" hidden="1" customWidth="1"/>
    <col min="13581" max="13581" width="11.28515625" style="137" customWidth="1"/>
    <col min="13582" max="13582" width="10" style="137" customWidth="1"/>
    <col min="13583" max="13583" width="9.28515625" style="137" customWidth="1"/>
    <col min="13584" max="13584" width="10.7109375" style="137" customWidth="1"/>
    <col min="13585" max="13585" width="8.28515625" style="137" customWidth="1"/>
    <col min="13586" max="13586" width="10.7109375" style="137" customWidth="1"/>
    <col min="13587" max="13587" width="10" style="137" customWidth="1"/>
    <col min="13588" max="13588" width="9.7109375" style="137" customWidth="1"/>
    <col min="13589" max="13589" width="8.85546875" style="137"/>
    <col min="13590" max="13590" width="9.5703125" style="137" customWidth="1"/>
    <col min="13591" max="13591" width="8.85546875" style="137"/>
    <col min="13592" max="13592" width="10.85546875" style="137" customWidth="1"/>
    <col min="13593" max="13593" width="12.28515625" style="137" customWidth="1"/>
    <col min="13594" max="13824" width="8.85546875" style="137"/>
    <col min="13825" max="13825" width="6.140625" style="137" customWidth="1"/>
    <col min="13826" max="13826" width="24" style="137" customWidth="1"/>
    <col min="13827" max="13827" width="11.140625" style="137" customWidth="1"/>
    <col min="13828" max="13828" width="8.85546875" style="137" customWidth="1"/>
    <col min="13829" max="13829" width="10.85546875" style="137" customWidth="1"/>
    <col min="13830" max="13830" width="8.42578125" style="137" customWidth="1"/>
    <col min="13831" max="13831" width="12.140625" style="137" bestFit="1" customWidth="1"/>
    <col min="13832" max="13832" width="12.140625" style="137" customWidth="1"/>
    <col min="13833" max="13833" width="10.85546875" style="137" customWidth="1"/>
    <col min="13834" max="13836" width="0" style="137" hidden="1" customWidth="1"/>
    <col min="13837" max="13837" width="11.28515625" style="137" customWidth="1"/>
    <col min="13838" max="13838" width="10" style="137" customWidth="1"/>
    <col min="13839" max="13839" width="9.28515625" style="137" customWidth="1"/>
    <col min="13840" max="13840" width="10.7109375" style="137" customWidth="1"/>
    <col min="13841" max="13841" width="8.28515625" style="137" customWidth="1"/>
    <col min="13842" max="13842" width="10.7109375" style="137" customWidth="1"/>
    <col min="13843" max="13843" width="10" style="137" customWidth="1"/>
    <col min="13844" max="13844" width="9.7109375" style="137" customWidth="1"/>
    <col min="13845" max="13845" width="8.85546875" style="137"/>
    <col min="13846" max="13846" width="9.5703125" style="137" customWidth="1"/>
    <col min="13847" max="13847" width="8.85546875" style="137"/>
    <col min="13848" max="13848" width="10.85546875" style="137" customWidth="1"/>
    <col min="13849" max="13849" width="12.28515625" style="137" customWidth="1"/>
    <col min="13850" max="14080" width="8.85546875" style="137"/>
    <col min="14081" max="14081" width="6.140625" style="137" customWidth="1"/>
    <col min="14082" max="14082" width="24" style="137" customWidth="1"/>
    <col min="14083" max="14083" width="11.140625" style="137" customWidth="1"/>
    <col min="14084" max="14084" width="8.85546875" style="137" customWidth="1"/>
    <col min="14085" max="14085" width="10.85546875" style="137" customWidth="1"/>
    <col min="14086" max="14086" width="8.42578125" style="137" customWidth="1"/>
    <col min="14087" max="14087" width="12.140625" style="137" bestFit="1" customWidth="1"/>
    <col min="14088" max="14088" width="12.140625" style="137" customWidth="1"/>
    <col min="14089" max="14089" width="10.85546875" style="137" customWidth="1"/>
    <col min="14090" max="14092" width="0" style="137" hidden="1" customWidth="1"/>
    <col min="14093" max="14093" width="11.28515625" style="137" customWidth="1"/>
    <col min="14094" max="14094" width="10" style="137" customWidth="1"/>
    <col min="14095" max="14095" width="9.28515625" style="137" customWidth="1"/>
    <col min="14096" max="14096" width="10.7109375" style="137" customWidth="1"/>
    <col min="14097" max="14097" width="8.28515625" style="137" customWidth="1"/>
    <col min="14098" max="14098" width="10.7109375" style="137" customWidth="1"/>
    <col min="14099" max="14099" width="10" style="137" customWidth="1"/>
    <col min="14100" max="14100" width="9.7109375" style="137" customWidth="1"/>
    <col min="14101" max="14101" width="8.85546875" style="137"/>
    <col min="14102" max="14102" width="9.5703125" style="137" customWidth="1"/>
    <col min="14103" max="14103" width="8.85546875" style="137"/>
    <col min="14104" max="14104" width="10.85546875" style="137" customWidth="1"/>
    <col min="14105" max="14105" width="12.28515625" style="137" customWidth="1"/>
    <col min="14106" max="14336" width="8.85546875" style="137"/>
    <col min="14337" max="14337" width="6.140625" style="137" customWidth="1"/>
    <col min="14338" max="14338" width="24" style="137" customWidth="1"/>
    <col min="14339" max="14339" width="11.140625" style="137" customWidth="1"/>
    <col min="14340" max="14340" width="8.85546875" style="137" customWidth="1"/>
    <col min="14341" max="14341" width="10.85546875" style="137" customWidth="1"/>
    <col min="14342" max="14342" width="8.42578125" style="137" customWidth="1"/>
    <col min="14343" max="14343" width="12.140625" style="137" bestFit="1" customWidth="1"/>
    <col min="14344" max="14344" width="12.140625" style="137" customWidth="1"/>
    <col min="14345" max="14345" width="10.85546875" style="137" customWidth="1"/>
    <col min="14346" max="14348" width="0" style="137" hidden="1" customWidth="1"/>
    <col min="14349" max="14349" width="11.28515625" style="137" customWidth="1"/>
    <col min="14350" max="14350" width="10" style="137" customWidth="1"/>
    <col min="14351" max="14351" width="9.28515625" style="137" customWidth="1"/>
    <col min="14352" max="14352" width="10.7109375" style="137" customWidth="1"/>
    <col min="14353" max="14353" width="8.28515625" style="137" customWidth="1"/>
    <col min="14354" max="14354" width="10.7109375" style="137" customWidth="1"/>
    <col min="14355" max="14355" width="10" style="137" customWidth="1"/>
    <col min="14356" max="14356" width="9.7109375" style="137" customWidth="1"/>
    <col min="14357" max="14357" width="8.85546875" style="137"/>
    <col min="14358" max="14358" width="9.5703125" style="137" customWidth="1"/>
    <col min="14359" max="14359" width="8.85546875" style="137"/>
    <col min="14360" max="14360" width="10.85546875" style="137" customWidth="1"/>
    <col min="14361" max="14361" width="12.28515625" style="137" customWidth="1"/>
    <col min="14362" max="14592" width="8.85546875" style="137"/>
    <col min="14593" max="14593" width="6.140625" style="137" customWidth="1"/>
    <col min="14594" max="14594" width="24" style="137" customWidth="1"/>
    <col min="14595" max="14595" width="11.140625" style="137" customWidth="1"/>
    <col min="14596" max="14596" width="8.85546875" style="137" customWidth="1"/>
    <col min="14597" max="14597" width="10.85546875" style="137" customWidth="1"/>
    <col min="14598" max="14598" width="8.42578125" style="137" customWidth="1"/>
    <col min="14599" max="14599" width="12.140625" style="137" bestFit="1" customWidth="1"/>
    <col min="14600" max="14600" width="12.140625" style="137" customWidth="1"/>
    <col min="14601" max="14601" width="10.85546875" style="137" customWidth="1"/>
    <col min="14602" max="14604" width="0" style="137" hidden="1" customWidth="1"/>
    <col min="14605" max="14605" width="11.28515625" style="137" customWidth="1"/>
    <col min="14606" max="14606" width="10" style="137" customWidth="1"/>
    <col min="14607" max="14607" width="9.28515625" style="137" customWidth="1"/>
    <col min="14608" max="14608" width="10.7109375" style="137" customWidth="1"/>
    <col min="14609" max="14609" width="8.28515625" style="137" customWidth="1"/>
    <col min="14610" max="14610" width="10.7109375" style="137" customWidth="1"/>
    <col min="14611" max="14611" width="10" style="137" customWidth="1"/>
    <col min="14612" max="14612" width="9.7109375" style="137" customWidth="1"/>
    <col min="14613" max="14613" width="8.85546875" style="137"/>
    <col min="14614" max="14614" width="9.5703125" style="137" customWidth="1"/>
    <col min="14615" max="14615" width="8.85546875" style="137"/>
    <col min="14616" max="14616" width="10.85546875" style="137" customWidth="1"/>
    <col min="14617" max="14617" width="12.28515625" style="137" customWidth="1"/>
    <col min="14618" max="14848" width="8.85546875" style="137"/>
    <col min="14849" max="14849" width="6.140625" style="137" customWidth="1"/>
    <col min="14850" max="14850" width="24" style="137" customWidth="1"/>
    <col min="14851" max="14851" width="11.140625" style="137" customWidth="1"/>
    <col min="14852" max="14852" width="8.85546875" style="137" customWidth="1"/>
    <col min="14853" max="14853" width="10.85546875" style="137" customWidth="1"/>
    <col min="14854" max="14854" width="8.42578125" style="137" customWidth="1"/>
    <col min="14855" max="14855" width="12.140625" style="137" bestFit="1" customWidth="1"/>
    <col min="14856" max="14856" width="12.140625" style="137" customWidth="1"/>
    <col min="14857" max="14857" width="10.85546875" style="137" customWidth="1"/>
    <col min="14858" max="14860" width="0" style="137" hidden="1" customWidth="1"/>
    <col min="14861" max="14861" width="11.28515625" style="137" customWidth="1"/>
    <col min="14862" max="14862" width="10" style="137" customWidth="1"/>
    <col min="14863" max="14863" width="9.28515625" style="137" customWidth="1"/>
    <col min="14864" max="14864" width="10.7109375" style="137" customWidth="1"/>
    <col min="14865" max="14865" width="8.28515625" style="137" customWidth="1"/>
    <col min="14866" max="14866" width="10.7109375" style="137" customWidth="1"/>
    <col min="14867" max="14867" width="10" style="137" customWidth="1"/>
    <col min="14868" max="14868" width="9.7109375" style="137" customWidth="1"/>
    <col min="14869" max="14869" width="8.85546875" style="137"/>
    <col min="14870" max="14870" width="9.5703125" style="137" customWidth="1"/>
    <col min="14871" max="14871" width="8.85546875" style="137"/>
    <col min="14872" max="14872" width="10.85546875" style="137" customWidth="1"/>
    <col min="14873" max="14873" width="12.28515625" style="137" customWidth="1"/>
    <col min="14874" max="15104" width="8.85546875" style="137"/>
    <col min="15105" max="15105" width="6.140625" style="137" customWidth="1"/>
    <col min="15106" max="15106" width="24" style="137" customWidth="1"/>
    <col min="15107" max="15107" width="11.140625" style="137" customWidth="1"/>
    <col min="15108" max="15108" width="8.85546875" style="137" customWidth="1"/>
    <col min="15109" max="15109" width="10.85546875" style="137" customWidth="1"/>
    <col min="15110" max="15110" width="8.42578125" style="137" customWidth="1"/>
    <col min="15111" max="15111" width="12.140625" style="137" bestFit="1" customWidth="1"/>
    <col min="15112" max="15112" width="12.140625" style="137" customWidth="1"/>
    <col min="15113" max="15113" width="10.85546875" style="137" customWidth="1"/>
    <col min="15114" max="15116" width="0" style="137" hidden="1" customWidth="1"/>
    <col min="15117" max="15117" width="11.28515625" style="137" customWidth="1"/>
    <col min="15118" max="15118" width="10" style="137" customWidth="1"/>
    <col min="15119" max="15119" width="9.28515625" style="137" customWidth="1"/>
    <col min="15120" max="15120" width="10.7109375" style="137" customWidth="1"/>
    <col min="15121" max="15121" width="8.28515625" style="137" customWidth="1"/>
    <col min="15122" max="15122" width="10.7109375" style="137" customWidth="1"/>
    <col min="15123" max="15123" width="10" style="137" customWidth="1"/>
    <col min="15124" max="15124" width="9.7109375" style="137" customWidth="1"/>
    <col min="15125" max="15125" width="8.85546875" style="137"/>
    <col min="15126" max="15126" width="9.5703125" style="137" customWidth="1"/>
    <col min="15127" max="15127" width="8.85546875" style="137"/>
    <col min="15128" max="15128" width="10.85546875" style="137" customWidth="1"/>
    <col min="15129" max="15129" width="12.28515625" style="137" customWidth="1"/>
    <col min="15130" max="15360" width="8.85546875" style="137"/>
    <col min="15361" max="15361" width="6.140625" style="137" customWidth="1"/>
    <col min="15362" max="15362" width="24" style="137" customWidth="1"/>
    <col min="15363" max="15363" width="11.140625" style="137" customWidth="1"/>
    <col min="15364" max="15364" width="8.85546875" style="137" customWidth="1"/>
    <col min="15365" max="15365" width="10.85546875" style="137" customWidth="1"/>
    <col min="15366" max="15366" width="8.42578125" style="137" customWidth="1"/>
    <col min="15367" max="15367" width="12.140625" style="137" bestFit="1" customWidth="1"/>
    <col min="15368" max="15368" width="12.140625" style="137" customWidth="1"/>
    <col min="15369" max="15369" width="10.85546875" style="137" customWidth="1"/>
    <col min="15370" max="15372" width="0" style="137" hidden="1" customWidth="1"/>
    <col min="15373" max="15373" width="11.28515625" style="137" customWidth="1"/>
    <col min="15374" max="15374" width="10" style="137" customWidth="1"/>
    <col min="15375" max="15375" width="9.28515625" style="137" customWidth="1"/>
    <col min="15376" max="15376" width="10.7109375" style="137" customWidth="1"/>
    <col min="15377" max="15377" width="8.28515625" style="137" customWidth="1"/>
    <col min="15378" max="15378" width="10.7109375" style="137" customWidth="1"/>
    <col min="15379" max="15379" width="10" style="137" customWidth="1"/>
    <col min="15380" max="15380" width="9.7109375" style="137" customWidth="1"/>
    <col min="15381" max="15381" width="8.85546875" style="137"/>
    <col min="15382" max="15382" width="9.5703125" style="137" customWidth="1"/>
    <col min="15383" max="15383" width="8.85546875" style="137"/>
    <col min="15384" max="15384" width="10.85546875" style="137" customWidth="1"/>
    <col min="15385" max="15385" width="12.28515625" style="137" customWidth="1"/>
    <col min="15386" max="15616" width="8.85546875" style="137"/>
    <col min="15617" max="15617" width="6.140625" style="137" customWidth="1"/>
    <col min="15618" max="15618" width="24" style="137" customWidth="1"/>
    <col min="15619" max="15619" width="11.140625" style="137" customWidth="1"/>
    <col min="15620" max="15620" width="8.85546875" style="137" customWidth="1"/>
    <col min="15621" max="15621" width="10.85546875" style="137" customWidth="1"/>
    <col min="15622" max="15622" width="8.42578125" style="137" customWidth="1"/>
    <col min="15623" max="15623" width="12.140625" style="137" bestFit="1" customWidth="1"/>
    <col min="15624" max="15624" width="12.140625" style="137" customWidth="1"/>
    <col min="15625" max="15625" width="10.85546875" style="137" customWidth="1"/>
    <col min="15626" max="15628" width="0" style="137" hidden="1" customWidth="1"/>
    <col min="15629" max="15629" width="11.28515625" style="137" customWidth="1"/>
    <col min="15630" max="15630" width="10" style="137" customWidth="1"/>
    <col min="15631" max="15631" width="9.28515625" style="137" customWidth="1"/>
    <col min="15632" max="15632" width="10.7109375" style="137" customWidth="1"/>
    <col min="15633" max="15633" width="8.28515625" style="137" customWidth="1"/>
    <col min="15634" max="15634" width="10.7109375" style="137" customWidth="1"/>
    <col min="15635" max="15635" width="10" style="137" customWidth="1"/>
    <col min="15636" max="15636" width="9.7109375" style="137" customWidth="1"/>
    <col min="15637" max="15637" width="8.85546875" style="137"/>
    <col min="15638" max="15638" width="9.5703125" style="137" customWidth="1"/>
    <col min="15639" max="15639" width="8.85546875" style="137"/>
    <col min="15640" max="15640" width="10.85546875" style="137" customWidth="1"/>
    <col min="15641" max="15641" width="12.28515625" style="137" customWidth="1"/>
    <col min="15642" max="15872" width="8.85546875" style="137"/>
    <col min="15873" max="15873" width="6.140625" style="137" customWidth="1"/>
    <col min="15874" max="15874" width="24" style="137" customWidth="1"/>
    <col min="15875" max="15875" width="11.140625" style="137" customWidth="1"/>
    <col min="15876" max="15876" width="8.85546875" style="137" customWidth="1"/>
    <col min="15877" max="15877" width="10.85546875" style="137" customWidth="1"/>
    <col min="15878" max="15878" width="8.42578125" style="137" customWidth="1"/>
    <col min="15879" max="15879" width="12.140625" style="137" bestFit="1" customWidth="1"/>
    <col min="15880" max="15880" width="12.140625" style="137" customWidth="1"/>
    <col min="15881" max="15881" width="10.85546875" style="137" customWidth="1"/>
    <col min="15882" max="15884" width="0" style="137" hidden="1" customWidth="1"/>
    <col min="15885" max="15885" width="11.28515625" style="137" customWidth="1"/>
    <col min="15886" max="15886" width="10" style="137" customWidth="1"/>
    <col min="15887" max="15887" width="9.28515625" style="137" customWidth="1"/>
    <col min="15888" max="15888" width="10.7109375" style="137" customWidth="1"/>
    <col min="15889" max="15889" width="8.28515625" style="137" customWidth="1"/>
    <col min="15890" max="15890" width="10.7109375" style="137" customWidth="1"/>
    <col min="15891" max="15891" width="10" style="137" customWidth="1"/>
    <col min="15892" max="15892" width="9.7109375" style="137" customWidth="1"/>
    <col min="15893" max="15893" width="8.85546875" style="137"/>
    <col min="15894" max="15894" width="9.5703125" style="137" customWidth="1"/>
    <col min="15895" max="15895" width="8.85546875" style="137"/>
    <col min="15896" max="15896" width="10.85546875" style="137" customWidth="1"/>
    <col min="15897" max="15897" width="12.28515625" style="137" customWidth="1"/>
    <col min="15898" max="16128" width="8.85546875" style="137"/>
    <col min="16129" max="16129" width="6.140625" style="137" customWidth="1"/>
    <col min="16130" max="16130" width="24" style="137" customWidth="1"/>
    <col min="16131" max="16131" width="11.140625" style="137" customWidth="1"/>
    <col min="16132" max="16132" width="8.85546875" style="137" customWidth="1"/>
    <col min="16133" max="16133" width="10.85546875" style="137" customWidth="1"/>
    <col min="16134" max="16134" width="8.42578125" style="137" customWidth="1"/>
    <col min="16135" max="16135" width="12.140625" style="137" bestFit="1" customWidth="1"/>
    <col min="16136" max="16136" width="12.140625" style="137" customWidth="1"/>
    <col min="16137" max="16137" width="10.85546875" style="137" customWidth="1"/>
    <col min="16138" max="16140" width="0" style="137" hidden="1" customWidth="1"/>
    <col min="16141" max="16141" width="11.28515625" style="137" customWidth="1"/>
    <col min="16142" max="16142" width="10" style="137" customWidth="1"/>
    <col min="16143" max="16143" width="9.28515625" style="137" customWidth="1"/>
    <col min="16144" max="16144" width="10.7109375" style="137" customWidth="1"/>
    <col min="16145" max="16145" width="8.28515625" style="137" customWidth="1"/>
    <col min="16146" max="16146" width="10.7109375" style="137" customWidth="1"/>
    <col min="16147" max="16147" width="10" style="137" customWidth="1"/>
    <col min="16148" max="16148" width="9.7109375" style="137" customWidth="1"/>
    <col min="16149" max="16149" width="8.85546875" style="137"/>
    <col min="16150" max="16150" width="9.5703125" style="137" customWidth="1"/>
    <col min="16151" max="16151" width="8.85546875" style="137"/>
    <col min="16152" max="16152" width="10.85546875" style="137" customWidth="1"/>
    <col min="16153" max="16153" width="12.28515625" style="137" customWidth="1"/>
    <col min="16154" max="16384" width="8.85546875" style="137"/>
  </cols>
  <sheetData>
    <row r="1" spans="1:26">
      <c r="A1" s="381" t="s">
        <v>517</v>
      </c>
      <c r="B1" s="381"/>
      <c r="C1" s="381"/>
      <c r="U1" s="387" t="s">
        <v>256</v>
      </c>
      <c r="V1" s="387"/>
      <c r="W1" s="387"/>
      <c r="X1" s="387"/>
    </row>
    <row r="2" spans="1:26">
      <c r="A2" s="388" t="s">
        <v>402</v>
      </c>
      <c r="B2" s="388"/>
      <c r="C2" s="388"/>
      <c r="D2" s="388"/>
      <c r="E2" s="388"/>
      <c r="F2" s="388"/>
      <c r="G2" s="388"/>
      <c r="H2" s="388"/>
      <c r="I2" s="388"/>
      <c r="J2" s="388"/>
      <c r="K2" s="388"/>
      <c r="L2" s="388"/>
      <c r="M2" s="388"/>
      <c r="N2" s="388"/>
      <c r="O2" s="388"/>
      <c r="P2" s="388"/>
      <c r="Q2" s="388"/>
      <c r="R2" s="388"/>
      <c r="S2" s="388"/>
      <c r="T2" s="388"/>
      <c r="U2" s="388"/>
      <c r="V2" s="388"/>
      <c r="W2" s="388"/>
      <c r="X2" s="280"/>
    </row>
    <row r="3" spans="1:26">
      <c r="A3" s="389" t="str">
        <f>'54'!A4:U4</f>
        <v>(Kèm theo Nghị quyết số            /NQ-HĐND ngày     tháng     năm 2023 của Hội đồng nhân dân huyện)</v>
      </c>
      <c r="B3" s="389"/>
      <c r="C3" s="389"/>
      <c r="D3" s="389"/>
      <c r="E3" s="389"/>
      <c r="F3" s="389"/>
      <c r="G3" s="389"/>
      <c r="H3" s="389"/>
      <c r="I3" s="389"/>
      <c r="J3" s="389"/>
      <c r="K3" s="389"/>
      <c r="L3" s="389"/>
      <c r="M3" s="389"/>
      <c r="N3" s="389"/>
      <c r="O3" s="389"/>
      <c r="P3" s="389"/>
      <c r="Q3" s="389"/>
      <c r="R3" s="389"/>
      <c r="S3" s="389"/>
      <c r="T3" s="389"/>
      <c r="U3" s="389"/>
      <c r="V3" s="389"/>
      <c r="W3" s="389"/>
      <c r="X3" s="280"/>
    </row>
    <row r="4" spans="1:26">
      <c r="V4" s="380" t="s">
        <v>15</v>
      </c>
      <c r="W4" s="380"/>
      <c r="X4" s="380"/>
    </row>
    <row r="5" spans="1:26" ht="15.75" customHeight="1">
      <c r="A5" s="382" t="s">
        <v>0</v>
      </c>
      <c r="B5" s="382" t="s">
        <v>257</v>
      </c>
      <c r="C5" s="382" t="s">
        <v>258</v>
      </c>
      <c r="D5" s="382"/>
      <c r="E5" s="382"/>
      <c r="F5" s="382"/>
      <c r="G5" s="382"/>
      <c r="H5" s="382"/>
      <c r="I5" s="390" t="s">
        <v>18</v>
      </c>
      <c r="J5" s="391"/>
      <c r="K5" s="391"/>
      <c r="L5" s="391"/>
      <c r="M5" s="391"/>
      <c r="N5" s="391"/>
      <c r="O5" s="391"/>
      <c r="P5" s="391"/>
      <c r="Q5" s="391"/>
      <c r="R5" s="391"/>
      <c r="S5" s="391"/>
      <c r="T5" s="391"/>
      <c r="U5" s="390" t="s">
        <v>69</v>
      </c>
      <c r="V5" s="391"/>
      <c r="W5" s="391"/>
      <c r="X5" s="392"/>
    </row>
    <row r="6" spans="1:26" ht="22.5" customHeight="1">
      <c r="A6" s="382"/>
      <c r="B6" s="382"/>
      <c r="C6" s="382" t="s">
        <v>226</v>
      </c>
      <c r="D6" s="382" t="s">
        <v>45</v>
      </c>
      <c r="E6" s="382" t="s">
        <v>229</v>
      </c>
      <c r="F6" s="382"/>
      <c r="G6" s="382"/>
      <c r="H6" s="382" t="s">
        <v>46</v>
      </c>
      <c r="I6" s="382" t="s">
        <v>226</v>
      </c>
      <c r="J6" s="382" t="s">
        <v>45</v>
      </c>
      <c r="K6" s="382"/>
      <c r="L6" s="382"/>
      <c r="M6" s="382" t="s">
        <v>46</v>
      </c>
      <c r="N6" s="382"/>
      <c r="O6" s="382"/>
      <c r="P6" s="382" t="s">
        <v>229</v>
      </c>
      <c r="Q6" s="382"/>
      <c r="R6" s="382"/>
      <c r="S6" s="384" t="s">
        <v>259</v>
      </c>
      <c r="T6" s="382" t="s">
        <v>54</v>
      </c>
      <c r="U6" s="382" t="s">
        <v>226</v>
      </c>
      <c r="V6" s="382" t="s">
        <v>45</v>
      </c>
      <c r="W6" s="382" t="s">
        <v>46</v>
      </c>
      <c r="X6" s="382" t="str">
        <f>P6</f>
        <v>Chi CTMTQG</v>
      </c>
    </row>
    <row r="7" spans="1:26" ht="21.75" customHeight="1">
      <c r="A7" s="382"/>
      <c r="B7" s="382"/>
      <c r="C7" s="382"/>
      <c r="D7" s="382"/>
      <c r="E7" s="382" t="s">
        <v>226</v>
      </c>
      <c r="F7" s="382" t="s">
        <v>253</v>
      </c>
      <c r="G7" s="382"/>
      <c r="H7" s="382"/>
      <c r="I7" s="382"/>
      <c r="J7" s="382" t="s">
        <v>226</v>
      </c>
      <c r="K7" s="382" t="s">
        <v>253</v>
      </c>
      <c r="L7" s="382"/>
      <c r="M7" s="382" t="s">
        <v>226</v>
      </c>
      <c r="N7" s="383" t="s">
        <v>253</v>
      </c>
      <c r="O7" s="383"/>
      <c r="P7" s="382" t="s">
        <v>226</v>
      </c>
      <c r="Q7" s="382" t="s">
        <v>253</v>
      </c>
      <c r="R7" s="382"/>
      <c r="S7" s="385"/>
      <c r="T7" s="382"/>
      <c r="U7" s="382"/>
      <c r="V7" s="382"/>
      <c r="W7" s="382"/>
      <c r="X7" s="382"/>
    </row>
    <row r="8" spans="1:26" ht="93" customHeight="1">
      <c r="A8" s="382"/>
      <c r="B8" s="382"/>
      <c r="C8" s="382"/>
      <c r="D8" s="382"/>
      <c r="E8" s="382"/>
      <c r="F8" s="281" t="s">
        <v>45</v>
      </c>
      <c r="G8" s="281" t="s">
        <v>46</v>
      </c>
      <c r="H8" s="382"/>
      <c r="I8" s="382"/>
      <c r="J8" s="382"/>
      <c r="K8" s="281" t="s">
        <v>260</v>
      </c>
      <c r="L8" s="281" t="s">
        <v>164</v>
      </c>
      <c r="M8" s="382"/>
      <c r="N8" s="282" t="s">
        <v>260</v>
      </c>
      <c r="O8" s="282" t="s">
        <v>261</v>
      </c>
      <c r="P8" s="382"/>
      <c r="Q8" s="281" t="s">
        <v>45</v>
      </c>
      <c r="R8" s="281" t="s">
        <v>46</v>
      </c>
      <c r="S8" s="386"/>
      <c r="T8" s="382"/>
      <c r="U8" s="382"/>
      <c r="V8" s="382"/>
      <c r="W8" s="382"/>
      <c r="X8" s="382"/>
    </row>
    <row r="9" spans="1:26" s="248" customFormat="1" ht="37.35" customHeight="1">
      <c r="A9" s="283" t="s">
        <v>22</v>
      </c>
      <c r="B9" s="283" t="s">
        <v>23</v>
      </c>
      <c r="C9" s="283">
        <v>1</v>
      </c>
      <c r="D9" s="283">
        <v>2</v>
      </c>
      <c r="E9" s="283">
        <v>3</v>
      </c>
      <c r="F9" s="283">
        <v>4</v>
      </c>
      <c r="G9" s="283">
        <v>5</v>
      </c>
      <c r="H9" s="283">
        <v>6</v>
      </c>
      <c r="I9" s="283">
        <v>7</v>
      </c>
      <c r="J9" s="283">
        <v>8</v>
      </c>
      <c r="K9" s="283">
        <v>9</v>
      </c>
      <c r="L9" s="283">
        <v>10</v>
      </c>
      <c r="M9" s="283">
        <v>11</v>
      </c>
      <c r="N9" s="284">
        <v>12</v>
      </c>
      <c r="O9" s="284">
        <v>13</v>
      </c>
      <c r="P9" s="283">
        <v>14</v>
      </c>
      <c r="Q9" s="283">
        <v>15</v>
      </c>
      <c r="R9" s="283">
        <v>16</v>
      </c>
      <c r="S9" s="284">
        <v>17</v>
      </c>
      <c r="T9" s="283">
        <v>18</v>
      </c>
      <c r="U9" s="283" t="s">
        <v>262</v>
      </c>
      <c r="V9" s="283" t="s">
        <v>263</v>
      </c>
      <c r="W9" s="283" t="s">
        <v>264</v>
      </c>
      <c r="X9" s="283" t="s">
        <v>265</v>
      </c>
    </row>
    <row r="10" spans="1:26" s="165" customFormat="1" ht="14.25">
      <c r="A10" s="285"/>
      <c r="B10" s="285" t="s">
        <v>266</v>
      </c>
      <c r="C10" s="286">
        <f>SUM(C11:C21)</f>
        <v>53756.84</v>
      </c>
      <c r="D10" s="286">
        <f t="shared" ref="D10:S10" si="0">SUM(D11:D21)</f>
        <v>0</v>
      </c>
      <c r="E10" s="286">
        <f t="shared" si="0"/>
        <v>0</v>
      </c>
      <c r="F10" s="286">
        <f t="shared" si="0"/>
        <v>0</v>
      </c>
      <c r="G10" s="286">
        <f t="shared" si="0"/>
        <v>0</v>
      </c>
      <c r="H10" s="286">
        <f t="shared" si="0"/>
        <v>53756.84</v>
      </c>
      <c r="I10" s="286">
        <f>SUM(I11:I21)</f>
        <v>72952.50699400001</v>
      </c>
      <c r="J10" s="286">
        <f t="shared" si="0"/>
        <v>0</v>
      </c>
      <c r="K10" s="286">
        <f t="shared" si="0"/>
        <v>0</v>
      </c>
      <c r="L10" s="286">
        <f t="shared" si="0"/>
        <v>0</v>
      </c>
      <c r="M10" s="286">
        <f>SUM(M11:M21)</f>
        <v>55020.133082000015</v>
      </c>
      <c r="N10" s="287">
        <f t="shared" si="0"/>
        <v>296.99995999999999</v>
      </c>
      <c r="O10" s="287">
        <f t="shared" si="0"/>
        <v>121.5</v>
      </c>
      <c r="P10" s="286">
        <f t="shared" si="0"/>
        <v>7650.6962929999991</v>
      </c>
      <c r="Q10" s="286">
        <f t="shared" si="0"/>
        <v>0</v>
      </c>
      <c r="R10" s="286">
        <f>SUM(R11:R21)</f>
        <v>7650.6962929999991</v>
      </c>
      <c r="S10" s="287">
        <f t="shared" si="0"/>
        <v>227.535077</v>
      </c>
      <c r="T10" s="286">
        <f>SUM(T11:T21)</f>
        <v>10054.142542000001</v>
      </c>
      <c r="U10" s="286">
        <f>I10/C10%</f>
        <v>135.70832473411758</v>
      </c>
      <c r="V10" s="286"/>
      <c r="W10" s="286">
        <f>M10/H10*100</f>
        <v>102.35001365779688</v>
      </c>
      <c r="X10" s="286"/>
      <c r="Y10" s="249"/>
      <c r="Z10" s="249"/>
    </row>
    <row r="11" spans="1:26">
      <c r="A11" s="288">
        <v>1</v>
      </c>
      <c r="B11" s="108" t="s">
        <v>324</v>
      </c>
      <c r="C11" s="289">
        <f>D11+E11+H11</f>
        <v>4802.9769999999999</v>
      </c>
      <c r="D11" s="289"/>
      <c r="E11" s="289">
        <f>F11+G11</f>
        <v>0</v>
      </c>
      <c r="F11" s="289"/>
      <c r="G11" s="289"/>
      <c r="H11" s="289">
        <v>4802.9769999999999</v>
      </c>
      <c r="I11" s="289">
        <f>J11+M11+P11+S11+T11</f>
        <v>6579.5916660000003</v>
      </c>
      <c r="J11" s="289">
        <f>K11+L11</f>
        <v>0</v>
      </c>
      <c r="K11" s="289"/>
      <c r="L11" s="289"/>
      <c r="M11" s="290">
        <f>5642.885687-P11</f>
        <v>4908.2239369999998</v>
      </c>
      <c r="N11" s="290">
        <v>26.999960000000002</v>
      </c>
      <c r="O11" s="290">
        <v>13.5</v>
      </c>
      <c r="P11" s="289">
        <f>Q11+R11</f>
        <v>734.66174999999998</v>
      </c>
      <c r="Q11" s="289"/>
      <c r="R11" s="289">
        <v>734.66174999999998</v>
      </c>
      <c r="S11" s="290">
        <v>47.691200000000002</v>
      </c>
      <c r="T11" s="289">
        <v>889.01477899999998</v>
      </c>
      <c r="U11" s="289">
        <f>I11/C11%</f>
        <v>136.98986411969076</v>
      </c>
      <c r="V11" s="289"/>
      <c r="W11" s="289">
        <f>M11/H11*100</f>
        <v>102.19128546732578</v>
      </c>
      <c r="X11" s="289"/>
      <c r="Y11" s="250"/>
      <c r="Z11" s="251"/>
    </row>
    <row r="12" spans="1:26">
      <c r="A12" s="288">
        <v>2</v>
      </c>
      <c r="B12" s="108" t="s">
        <v>325</v>
      </c>
      <c r="C12" s="289">
        <f t="shared" ref="C12:C21" si="1">D12+E12+H12</f>
        <v>6175.0020000000004</v>
      </c>
      <c r="D12" s="289"/>
      <c r="E12" s="289">
        <f t="shared" ref="E12:E21" si="2">F12+G12</f>
        <v>0</v>
      </c>
      <c r="F12" s="289"/>
      <c r="G12" s="289"/>
      <c r="H12" s="289">
        <v>6175.0020000000004</v>
      </c>
      <c r="I12" s="289">
        <f t="shared" ref="I12:I21" si="3">J12+M12+P12+S12+T12</f>
        <v>7401.4091509999998</v>
      </c>
      <c r="J12" s="289">
        <f t="shared" ref="J12:J21" si="4">K12+L12</f>
        <v>0</v>
      </c>
      <c r="K12" s="289"/>
      <c r="L12" s="289"/>
      <c r="M12" s="290">
        <f>6574.038027-P12</f>
        <v>6368.8280269999996</v>
      </c>
      <c r="N12" s="290">
        <v>27</v>
      </c>
      <c r="O12" s="290">
        <v>13.5</v>
      </c>
      <c r="P12" s="289">
        <f t="shared" ref="P12:P21" si="5">Q12+R12</f>
        <v>205.21</v>
      </c>
      <c r="Q12" s="289"/>
      <c r="R12" s="289">
        <v>205.21</v>
      </c>
      <c r="S12" s="290">
        <v>18.093195999999999</v>
      </c>
      <c r="T12" s="289">
        <v>809.27792799999997</v>
      </c>
      <c r="U12" s="289">
        <f t="shared" ref="U12:U21" si="6">I12/C12%</f>
        <v>119.86083811794715</v>
      </c>
      <c r="V12" s="289"/>
      <c r="W12" s="289">
        <f t="shared" ref="W12:W21" si="7">M12/H12*100</f>
        <v>103.13888201169812</v>
      </c>
      <c r="X12" s="289"/>
      <c r="Y12" s="250"/>
      <c r="Z12" s="251"/>
    </row>
    <row r="13" spans="1:26">
      <c r="A13" s="288">
        <v>3</v>
      </c>
      <c r="B13" s="108" t="s">
        <v>326</v>
      </c>
      <c r="C13" s="289">
        <f t="shared" si="1"/>
        <v>4456.0559999999996</v>
      </c>
      <c r="D13" s="289"/>
      <c r="E13" s="289">
        <f t="shared" si="2"/>
        <v>0</v>
      </c>
      <c r="F13" s="289"/>
      <c r="G13" s="289"/>
      <c r="H13" s="289">
        <v>4456.0559999999996</v>
      </c>
      <c r="I13" s="289">
        <f t="shared" si="3"/>
        <v>5852.4740399999991</v>
      </c>
      <c r="J13" s="289">
        <f t="shared" si="4"/>
        <v>0</v>
      </c>
      <c r="K13" s="289"/>
      <c r="L13" s="289"/>
      <c r="M13" s="290">
        <f>4863.592-P13</f>
        <v>4608.8759999999993</v>
      </c>
      <c r="N13" s="290">
        <v>27</v>
      </c>
      <c r="O13" s="290">
        <v>4.5</v>
      </c>
      <c r="P13" s="289">
        <f t="shared" si="5"/>
        <v>254.71600000000001</v>
      </c>
      <c r="Q13" s="289"/>
      <c r="R13" s="289">
        <v>254.71600000000001</v>
      </c>
      <c r="S13" s="290"/>
      <c r="T13" s="289">
        <v>988.88203999999996</v>
      </c>
      <c r="U13" s="289">
        <f t="shared" si="6"/>
        <v>131.33753346008217</v>
      </c>
      <c r="V13" s="289"/>
      <c r="W13" s="289">
        <f>M13/H13*100</f>
        <v>103.42949011412783</v>
      </c>
      <c r="X13" s="289"/>
      <c r="Y13" s="250"/>
      <c r="Z13" s="251"/>
    </row>
    <row r="14" spans="1:26">
      <c r="A14" s="288">
        <v>4</v>
      </c>
      <c r="B14" s="108" t="s">
        <v>327</v>
      </c>
      <c r="C14" s="289">
        <f t="shared" si="1"/>
        <v>4770.4690000000001</v>
      </c>
      <c r="D14" s="289"/>
      <c r="E14" s="289">
        <f t="shared" si="2"/>
        <v>0</v>
      </c>
      <c r="F14" s="289"/>
      <c r="G14" s="289"/>
      <c r="H14" s="289">
        <v>4770.4690000000001</v>
      </c>
      <c r="I14" s="289">
        <f t="shared" si="3"/>
        <v>6224.2885700000006</v>
      </c>
      <c r="J14" s="289">
        <f t="shared" si="4"/>
        <v>0</v>
      </c>
      <c r="K14" s="289"/>
      <c r="L14" s="289"/>
      <c r="M14" s="290">
        <f>5465.302133-R14</f>
        <v>4808.1281330000002</v>
      </c>
      <c r="N14" s="290">
        <v>27</v>
      </c>
      <c r="O14" s="290">
        <v>4.5</v>
      </c>
      <c r="P14" s="289">
        <f t="shared" si="5"/>
        <v>657.17399999999998</v>
      </c>
      <c r="Q14" s="289"/>
      <c r="R14" s="289">
        <v>657.17399999999998</v>
      </c>
      <c r="S14" s="290">
        <v>43.529682000000001</v>
      </c>
      <c r="T14" s="289">
        <v>715.45675500000004</v>
      </c>
      <c r="U14" s="289">
        <f t="shared" si="6"/>
        <v>130.47540126557789</v>
      </c>
      <c r="V14" s="289"/>
      <c r="W14" s="289">
        <f t="shared" si="7"/>
        <v>100.78942202538157</v>
      </c>
      <c r="X14" s="289"/>
      <c r="Y14" s="250"/>
      <c r="Z14" s="251"/>
    </row>
    <row r="15" spans="1:26">
      <c r="A15" s="288">
        <v>5</v>
      </c>
      <c r="B15" s="108" t="s">
        <v>328</v>
      </c>
      <c r="C15" s="289">
        <f t="shared" si="1"/>
        <v>5360.5720000000001</v>
      </c>
      <c r="D15" s="289"/>
      <c r="E15" s="289">
        <f t="shared" si="2"/>
        <v>0</v>
      </c>
      <c r="F15" s="289"/>
      <c r="G15" s="289"/>
      <c r="H15" s="289">
        <v>5360.5720000000001</v>
      </c>
      <c r="I15" s="289">
        <f t="shared" si="3"/>
        <v>6822.8876</v>
      </c>
      <c r="J15" s="289">
        <f t="shared" si="4"/>
        <v>0</v>
      </c>
      <c r="K15" s="289"/>
      <c r="L15" s="289"/>
      <c r="M15" s="290">
        <f>6013.10494-R15</f>
        <v>5524.0298000000003</v>
      </c>
      <c r="N15" s="290">
        <v>27</v>
      </c>
      <c r="O15" s="290">
        <v>13.5</v>
      </c>
      <c r="P15" s="289">
        <f t="shared" si="5"/>
        <v>489.07513999999998</v>
      </c>
      <c r="Q15" s="289"/>
      <c r="R15" s="289">
        <v>489.07513999999998</v>
      </c>
      <c r="S15" s="290"/>
      <c r="T15" s="289">
        <v>809.78265999999996</v>
      </c>
      <c r="U15" s="289">
        <f t="shared" si="6"/>
        <v>127.27909633524185</v>
      </c>
      <c r="V15" s="289"/>
      <c r="W15" s="289">
        <f t="shared" si="7"/>
        <v>103.04926041474678</v>
      </c>
      <c r="X15" s="289"/>
      <c r="Y15" s="250"/>
      <c r="Z15" s="251"/>
    </row>
    <row r="16" spans="1:26">
      <c r="A16" s="288">
        <v>6</v>
      </c>
      <c r="B16" s="108" t="s">
        <v>329</v>
      </c>
      <c r="C16" s="289">
        <f t="shared" si="1"/>
        <v>4899.701</v>
      </c>
      <c r="D16" s="289"/>
      <c r="E16" s="289">
        <f t="shared" si="2"/>
        <v>0</v>
      </c>
      <c r="F16" s="289"/>
      <c r="G16" s="289"/>
      <c r="H16" s="289">
        <v>4899.701</v>
      </c>
      <c r="I16" s="289">
        <f t="shared" si="3"/>
        <v>7517.3874320000004</v>
      </c>
      <c r="J16" s="289">
        <f t="shared" si="4"/>
        <v>0</v>
      </c>
      <c r="K16" s="289"/>
      <c r="L16" s="289"/>
      <c r="M16" s="290">
        <f>6591.575305-R16</f>
        <v>5051.8472450000008</v>
      </c>
      <c r="N16" s="290">
        <v>27</v>
      </c>
      <c r="O16" s="290">
        <v>13.5</v>
      </c>
      <c r="P16" s="289">
        <f t="shared" si="5"/>
        <v>1539.7280599999999</v>
      </c>
      <c r="Q16" s="289"/>
      <c r="R16" s="289">
        <v>1539.7280599999999</v>
      </c>
      <c r="S16" s="290"/>
      <c r="T16" s="289">
        <v>925.81212700000003</v>
      </c>
      <c r="U16" s="289">
        <f t="shared" si="6"/>
        <v>153.4254321233071</v>
      </c>
      <c r="V16" s="289"/>
      <c r="W16" s="289">
        <f t="shared" si="7"/>
        <v>103.10521488964328</v>
      </c>
      <c r="X16" s="289"/>
      <c r="Y16" s="250"/>
      <c r="Z16" s="251"/>
    </row>
    <row r="17" spans="1:27">
      <c r="A17" s="288">
        <v>7</v>
      </c>
      <c r="B17" s="108" t="s">
        <v>330</v>
      </c>
      <c r="C17" s="289">
        <f t="shared" si="1"/>
        <v>4924.308</v>
      </c>
      <c r="D17" s="289"/>
      <c r="E17" s="289">
        <f t="shared" si="2"/>
        <v>0</v>
      </c>
      <c r="F17" s="289"/>
      <c r="G17" s="289"/>
      <c r="H17" s="289">
        <v>4924.308</v>
      </c>
      <c r="I17" s="289">
        <f t="shared" si="3"/>
        <v>6500.7238150000003</v>
      </c>
      <c r="J17" s="289">
        <f t="shared" si="4"/>
        <v>0</v>
      </c>
      <c r="K17" s="289"/>
      <c r="L17" s="289"/>
      <c r="M17" s="290">
        <f>5554.73497-P17</f>
        <v>5059.1958000000004</v>
      </c>
      <c r="N17" s="290">
        <v>27</v>
      </c>
      <c r="O17" s="290">
        <v>13.5</v>
      </c>
      <c r="P17" s="289">
        <f t="shared" si="5"/>
        <v>495.53917000000001</v>
      </c>
      <c r="Q17" s="289"/>
      <c r="R17" s="289">
        <v>495.53917000000001</v>
      </c>
      <c r="S17" s="290"/>
      <c r="T17" s="289">
        <v>945.98884499999997</v>
      </c>
      <c r="U17" s="289">
        <f t="shared" si="6"/>
        <v>132.01294100612716</v>
      </c>
      <c r="V17" s="289"/>
      <c r="W17" s="289">
        <f t="shared" si="7"/>
        <v>102.73922346043342</v>
      </c>
      <c r="X17" s="289"/>
      <c r="Y17" s="250"/>
      <c r="Z17" s="251"/>
    </row>
    <row r="18" spans="1:27" s="247" customFormat="1">
      <c r="A18" s="291">
        <v>8</v>
      </c>
      <c r="B18" s="108" t="s">
        <v>331</v>
      </c>
      <c r="C18" s="290">
        <f t="shared" si="1"/>
        <v>4569.3280000000004</v>
      </c>
      <c r="D18" s="290"/>
      <c r="E18" s="290">
        <f t="shared" si="2"/>
        <v>0</v>
      </c>
      <c r="F18" s="290"/>
      <c r="G18" s="290"/>
      <c r="H18" s="290">
        <v>4569.3280000000004</v>
      </c>
      <c r="I18" s="290">
        <f t="shared" si="3"/>
        <v>5924.8980000000001</v>
      </c>
      <c r="J18" s="290">
        <f t="shared" si="4"/>
        <v>0</v>
      </c>
      <c r="K18" s="290"/>
      <c r="L18" s="290"/>
      <c r="M18" s="290">
        <f>5129.928873-R18</f>
        <v>4656.393</v>
      </c>
      <c r="N18" s="290">
        <v>27</v>
      </c>
      <c r="O18" s="290">
        <v>13.5</v>
      </c>
      <c r="P18" s="290">
        <f t="shared" si="5"/>
        <v>473.53587299999998</v>
      </c>
      <c r="Q18" s="290"/>
      <c r="R18" s="290">
        <v>473.53587299999998</v>
      </c>
      <c r="S18" s="290"/>
      <c r="T18" s="290">
        <v>794.96912699999996</v>
      </c>
      <c r="U18" s="290">
        <f t="shared" si="6"/>
        <v>129.66672561041798</v>
      </c>
      <c r="V18" s="290"/>
      <c r="W18" s="290">
        <f t="shared" si="7"/>
        <v>101.90542241660042</v>
      </c>
      <c r="X18" s="290"/>
      <c r="Y18" s="252"/>
      <c r="Z18" s="253"/>
      <c r="AA18" s="254"/>
    </row>
    <row r="19" spans="1:27">
      <c r="A19" s="288">
        <v>9</v>
      </c>
      <c r="B19" s="108" t="s">
        <v>332</v>
      </c>
      <c r="C19" s="289">
        <f t="shared" si="1"/>
        <v>5441.7610000000004</v>
      </c>
      <c r="D19" s="289"/>
      <c r="E19" s="289">
        <f t="shared" si="2"/>
        <v>0</v>
      </c>
      <c r="F19" s="289"/>
      <c r="G19" s="289"/>
      <c r="H19" s="289">
        <v>5441.7610000000004</v>
      </c>
      <c r="I19" s="289">
        <f t="shared" si="3"/>
        <v>9171.7945279999985</v>
      </c>
      <c r="J19" s="289">
        <v>0</v>
      </c>
      <c r="K19" s="289"/>
      <c r="L19" s="289"/>
      <c r="M19" s="290">
        <f>7439.568866-P19</f>
        <v>5619.8660659999996</v>
      </c>
      <c r="N19" s="290">
        <v>27</v>
      </c>
      <c r="O19" s="290">
        <v>4.5</v>
      </c>
      <c r="P19" s="289">
        <f t="shared" si="5"/>
        <v>1819.7028</v>
      </c>
      <c r="Q19" s="289"/>
      <c r="R19" s="289">
        <v>1819.7028</v>
      </c>
      <c r="S19" s="290">
        <v>113.200999</v>
      </c>
      <c r="T19" s="289">
        <v>1619.0246629999999</v>
      </c>
      <c r="U19" s="289">
        <f t="shared" si="6"/>
        <v>168.54460399859528</v>
      </c>
      <c r="V19" s="289"/>
      <c r="W19" s="289">
        <f t="shared" si="7"/>
        <v>103.27293069284005</v>
      </c>
      <c r="X19" s="289"/>
      <c r="Y19" s="250"/>
      <c r="Z19" s="251"/>
      <c r="AA19" s="255"/>
    </row>
    <row r="20" spans="1:27">
      <c r="A20" s="288">
        <v>10</v>
      </c>
      <c r="B20" s="108" t="s">
        <v>333</v>
      </c>
      <c r="C20" s="289">
        <f t="shared" si="1"/>
        <v>4183.0609999999997</v>
      </c>
      <c r="D20" s="289"/>
      <c r="E20" s="289">
        <f t="shared" si="2"/>
        <v>0</v>
      </c>
      <c r="F20" s="289"/>
      <c r="G20" s="289"/>
      <c r="H20" s="289">
        <v>4183.0609999999997</v>
      </c>
      <c r="I20" s="289">
        <f>J20+M20+P20+S20+T20</f>
        <v>5437.7391120000002</v>
      </c>
      <c r="J20" s="289"/>
      <c r="K20" s="289"/>
      <c r="L20" s="289"/>
      <c r="M20" s="290">
        <f>4634.389994-R20</f>
        <v>4207.1149940000005</v>
      </c>
      <c r="N20" s="290">
        <v>27</v>
      </c>
      <c r="O20" s="290">
        <v>13.5</v>
      </c>
      <c r="P20" s="289">
        <f t="shared" si="5"/>
        <v>427.27499999999998</v>
      </c>
      <c r="Q20" s="289"/>
      <c r="R20" s="289">
        <v>427.27499999999998</v>
      </c>
      <c r="S20" s="290"/>
      <c r="T20" s="289">
        <v>803.34911799999998</v>
      </c>
      <c r="U20" s="289">
        <f t="shared" si="6"/>
        <v>129.9942580803866</v>
      </c>
      <c r="V20" s="289"/>
      <c r="W20" s="289">
        <f t="shared" si="7"/>
        <v>100.57503330694917</v>
      </c>
      <c r="X20" s="289"/>
      <c r="Y20" s="250"/>
      <c r="Z20" s="251"/>
    </row>
    <row r="21" spans="1:27">
      <c r="A21" s="288">
        <v>11</v>
      </c>
      <c r="B21" s="108" t="s">
        <v>334</v>
      </c>
      <c r="C21" s="289">
        <f t="shared" si="1"/>
        <v>4173.6049999999996</v>
      </c>
      <c r="D21" s="289"/>
      <c r="E21" s="289">
        <f t="shared" si="2"/>
        <v>0</v>
      </c>
      <c r="F21" s="289"/>
      <c r="G21" s="289"/>
      <c r="H21" s="289">
        <v>4173.6049999999996</v>
      </c>
      <c r="I21" s="289">
        <f t="shared" si="3"/>
        <v>5519.3130800000008</v>
      </c>
      <c r="J21" s="289">
        <f t="shared" si="4"/>
        <v>0</v>
      </c>
      <c r="K21" s="289"/>
      <c r="L21" s="289"/>
      <c r="M21" s="290">
        <f>4761.70858-R21</f>
        <v>4207.6300800000008</v>
      </c>
      <c r="N21" s="290">
        <v>27</v>
      </c>
      <c r="O21" s="290">
        <v>13.5</v>
      </c>
      <c r="P21" s="289">
        <f t="shared" si="5"/>
        <v>554.07849999999996</v>
      </c>
      <c r="Q21" s="289"/>
      <c r="R21" s="289">
        <v>554.07849999999996</v>
      </c>
      <c r="S21" s="290">
        <v>5.0199999999999996</v>
      </c>
      <c r="T21" s="289">
        <v>752.58450000000005</v>
      </c>
      <c r="U21" s="289">
        <f t="shared" si="6"/>
        <v>132.24330237288868</v>
      </c>
      <c r="V21" s="289"/>
      <c r="W21" s="289">
        <f t="shared" si="7"/>
        <v>100.81524437506665</v>
      </c>
      <c r="X21" s="289"/>
      <c r="Y21" s="250"/>
      <c r="Z21" s="251"/>
    </row>
    <row r="22" spans="1:27">
      <c r="A22" s="292" t="s">
        <v>515</v>
      </c>
      <c r="M22" s="250"/>
      <c r="R22" s="251"/>
      <c r="Y22" s="250"/>
    </row>
    <row r="23" spans="1:27">
      <c r="A23" s="293" t="s">
        <v>267</v>
      </c>
    </row>
    <row r="24" spans="1:27">
      <c r="A24" s="293" t="s">
        <v>268</v>
      </c>
    </row>
    <row r="25" spans="1:27">
      <c r="A25" s="293" t="s">
        <v>269</v>
      </c>
    </row>
    <row r="26" spans="1:27">
      <c r="A26" s="256"/>
      <c r="B26" s="257"/>
    </row>
    <row r="27" spans="1:27">
      <c r="A27" s="256"/>
      <c r="N27" s="258"/>
      <c r="O27" s="258"/>
    </row>
    <row r="28" spans="1:27">
      <c r="A28" s="256"/>
      <c r="N28" s="258"/>
      <c r="O28" s="258"/>
    </row>
    <row r="29" spans="1:27">
      <c r="A29" s="256"/>
      <c r="N29" s="258"/>
      <c r="O29" s="258"/>
    </row>
    <row r="30" spans="1:27">
      <c r="A30" s="256"/>
      <c r="N30" s="258"/>
      <c r="O30" s="258"/>
    </row>
    <row r="31" spans="1:27">
      <c r="A31" s="256"/>
      <c r="N31" s="258"/>
      <c r="O31" s="258"/>
    </row>
    <row r="32" spans="1:27">
      <c r="A32" s="256"/>
      <c r="N32" s="258"/>
      <c r="O32" s="258"/>
    </row>
    <row r="33" spans="1:15">
      <c r="A33" s="256"/>
      <c r="N33" s="258"/>
      <c r="O33" s="258"/>
    </row>
    <row r="34" spans="1:15">
      <c r="N34" s="258"/>
      <c r="O34" s="258"/>
    </row>
    <row r="35" spans="1:15">
      <c r="N35" s="258"/>
      <c r="O35" s="258"/>
    </row>
    <row r="36" spans="1:15">
      <c r="N36" s="258"/>
      <c r="O36" s="258"/>
    </row>
    <row r="37" spans="1:15">
      <c r="N37" s="258"/>
      <c r="O37" s="258"/>
    </row>
    <row r="43" spans="1:15">
      <c r="O43" s="247" t="e">
        <f>G27/$P$27</f>
        <v>#DIV/0!</v>
      </c>
    </row>
  </sheetData>
  <mergeCells count="32">
    <mergeCell ref="U1:X1"/>
    <mergeCell ref="A2:W2"/>
    <mergeCell ref="A3:W3"/>
    <mergeCell ref="A5:A8"/>
    <mergeCell ref="B5:B8"/>
    <mergeCell ref="C5:H5"/>
    <mergeCell ref="I5:T5"/>
    <mergeCell ref="U5:X5"/>
    <mergeCell ref="C6:C8"/>
    <mergeCell ref="D6:D8"/>
    <mergeCell ref="E6:G6"/>
    <mergeCell ref="H6:H8"/>
    <mergeCell ref="I6:I8"/>
    <mergeCell ref="J6:L6"/>
    <mergeCell ref="M6:O6"/>
    <mergeCell ref="E7:E8"/>
    <mergeCell ref="V4:X4"/>
    <mergeCell ref="A1:C1"/>
    <mergeCell ref="V6:V8"/>
    <mergeCell ref="W6:W8"/>
    <mergeCell ref="X6:X8"/>
    <mergeCell ref="M7:M8"/>
    <mergeCell ref="N7:O7"/>
    <mergeCell ref="P7:P8"/>
    <mergeCell ref="Q7:R7"/>
    <mergeCell ref="S6:S8"/>
    <mergeCell ref="P6:R6"/>
    <mergeCell ref="F7:G7"/>
    <mergeCell ref="J7:J8"/>
    <mergeCell ref="K7:L7"/>
    <mergeCell ref="T6:T8"/>
    <mergeCell ref="U6:U8"/>
  </mergeCells>
  <pageMargins left="0.21" right="0.18" top="0.36" bottom="0.75" header="0.3" footer="0.3"/>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48"/>
  <sheetViews>
    <sheetView workbookViewId="0">
      <selection activeCell="H9" sqref="H9"/>
    </sheetView>
  </sheetViews>
  <sheetFormatPr defaultColWidth="10" defaultRowHeight="15"/>
  <cols>
    <col min="1" max="1" width="5.42578125" style="238" customWidth="1"/>
    <col min="2" max="2" width="21.85546875" style="238" customWidth="1"/>
    <col min="3" max="5" width="8" style="238" customWidth="1"/>
    <col min="6" max="6" width="7.42578125" style="238" customWidth="1"/>
    <col min="7" max="7" width="8" style="238" customWidth="1"/>
    <col min="8" max="8" width="6.85546875" style="238" customWidth="1"/>
    <col min="9" max="15" width="8" style="238" customWidth="1"/>
    <col min="16" max="16" width="6.85546875" style="238" customWidth="1"/>
    <col min="17" max="17" width="8" style="238" customWidth="1"/>
    <col min="18" max="18" width="6.28515625" style="238" customWidth="1"/>
    <col min="19" max="19" width="8" style="238" customWidth="1"/>
    <col min="20" max="20" width="6.42578125" style="238" customWidth="1"/>
    <col min="21" max="21" width="19.140625" style="238" customWidth="1"/>
    <col min="22" max="256" width="10" style="238"/>
    <col min="257" max="257" width="5.42578125" style="238" customWidth="1"/>
    <col min="258" max="258" width="21.85546875" style="238" customWidth="1"/>
    <col min="259" max="259" width="12.28515625" style="238" customWidth="1"/>
    <col min="260" max="260" width="10.140625" style="238" customWidth="1"/>
    <col min="261" max="261" width="11.28515625" style="238" customWidth="1"/>
    <col min="262" max="262" width="10.140625" style="238" customWidth="1"/>
    <col min="263" max="263" width="11.85546875" style="238" customWidth="1"/>
    <col min="264" max="264" width="10.42578125" style="238" customWidth="1"/>
    <col min="265" max="265" width="12.140625" style="238" customWidth="1"/>
    <col min="266" max="266" width="11.140625" style="238" customWidth="1"/>
    <col min="267" max="268" width="11" style="238" customWidth="1"/>
    <col min="269" max="270" width="10.42578125" style="238" customWidth="1"/>
    <col min="271" max="271" width="9.140625" style="238" customWidth="1"/>
    <col min="272" max="272" width="8.42578125" style="238" customWidth="1"/>
    <col min="273" max="273" width="7.140625" style="238" customWidth="1"/>
    <col min="274" max="274" width="9.7109375" style="238" customWidth="1"/>
    <col min="275" max="275" width="8.42578125" style="238" bestFit="1" customWidth="1"/>
    <col min="276" max="276" width="6.5703125" style="238" customWidth="1"/>
    <col min="277" max="277" width="19.140625" style="238" customWidth="1"/>
    <col min="278" max="512" width="10" style="238"/>
    <col min="513" max="513" width="5.42578125" style="238" customWidth="1"/>
    <col min="514" max="514" width="21.85546875" style="238" customWidth="1"/>
    <col min="515" max="515" width="12.28515625" style="238" customWidth="1"/>
    <col min="516" max="516" width="10.140625" style="238" customWidth="1"/>
    <col min="517" max="517" width="11.28515625" style="238" customWidth="1"/>
    <col min="518" max="518" width="10.140625" style="238" customWidth="1"/>
    <col min="519" max="519" width="11.85546875" style="238" customWidth="1"/>
    <col min="520" max="520" width="10.42578125" style="238" customWidth="1"/>
    <col min="521" max="521" width="12.140625" style="238" customWidth="1"/>
    <col min="522" max="522" width="11.140625" style="238" customWidth="1"/>
    <col min="523" max="524" width="11" style="238" customWidth="1"/>
    <col min="525" max="526" width="10.42578125" style="238" customWidth="1"/>
    <col min="527" max="527" width="9.140625" style="238" customWidth="1"/>
    <col min="528" max="528" width="8.42578125" style="238" customWidth="1"/>
    <col min="529" max="529" width="7.140625" style="238" customWidth="1"/>
    <col min="530" max="530" width="9.7109375" style="238" customWidth="1"/>
    <col min="531" max="531" width="8.42578125" style="238" bestFit="1" customWidth="1"/>
    <col min="532" max="532" width="6.5703125" style="238" customWidth="1"/>
    <col min="533" max="533" width="19.140625" style="238" customWidth="1"/>
    <col min="534" max="768" width="10" style="238"/>
    <col min="769" max="769" width="5.42578125" style="238" customWidth="1"/>
    <col min="770" max="770" width="21.85546875" style="238" customWidth="1"/>
    <col min="771" max="771" width="12.28515625" style="238" customWidth="1"/>
    <col min="772" max="772" width="10.140625" style="238" customWidth="1"/>
    <col min="773" max="773" width="11.28515625" style="238" customWidth="1"/>
    <col min="774" max="774" width="10.140625" style="238" customWidth="1"/>
    <col min="775" max="775" width="11.85546875" style="238" customWidth="1"/>
    <col min="776" max="776" width="10.42578125" style="238" customWidth="1"/>
    <col min="777" max="777" width="12.140625" style="238" customWidth="1"/>
    <col min="778" max="778" width="11.140625" style="238" customWidth="1"/>
    <col min="779" max="780" width="11" style="238" customWidth="1"/>
    <col min="781" max="782" width="10.42578125" style="238" customWidth="1"/>
    <col min="783" max="783" width="9.140625" style="238" customWidth="1"/>
    <col min="784" max="784" width="8.42578125" style="238" customWidth="1"/>
    <col min="785" max="785" width="7.140625" style="238" customWidth="1"/>
    <col min="786" max="786" width="9.7109375" style="238" customWidth="1"/>
    <col min="787" max="787" width="8.42578125" style="238" bestFit="1" customWidth="1"/>
    <col min="788" max="788" width="6.5703125" style="238" customWidth="1"/>
    <col min="789" max="789" width="19.140625" style="238" customWidth="1"/>
    <col min="790" max="1024" width="10" style="238"/>
    <col min="1025" max="1025" width="5.42578125" style="238" customWidth="1"/>
    <col min="1026" max="1026" width="21.85546875" style="238" customWidth="1"/>
    <col min="1027" max="1027" width="12.28515625" style="238" customWidth="1"/>
    <col min="1028" max="1028" width="10.140625" style="238" customWidth="1"/>
    <col min="1029" max="1029" width="11.28515625" style="238" customWidth="1"/>
    <col min="1030" max="1030" width="10.140625" style="238" customWidth="1"/>
    <col min="1031" max="1031" width="11.85546875" style="238" customWidth="1"/>
    <col min="1032" max="1032" width="10.42578125" style="238" customWidth="1"/>
    <col min="1033" max="1033" width="12.140625" style="238" customWidth="1"/>
    <col min="1034" max="1034" width="11.140625" style="238" customWidth="1"/>
    <col min="1035" max="1036" width="11" style="238" customWidth="1"/>
    <col min="1037" max="1038" width="10.42578125" style="238" customWidth="1"/>
    <col min="1039" max="1039" width="9.140625" style="238" customWidth="1"/>
    <col min="1040" max="1040" width="8.42578125" style="238" customWidth="1"/>
    <col min="1041" max="1041" width="7.140625" style="238" customWidth="1"/>
    <col min="1042" max="1042" width="9.7109375" style="238" customWidth="1"/>
    <col min="1043" max="1043" width="8.42578125" style="238" bestFit="1" customWidth="1"/>
    <col min="1044" max="1044" width="6.5703125" style="238" customWidth="1"/>
    <col min="1045" max="1045" width="19.140625" style="238" customWidth="1"/>
    <col min="1046" max="1280" width="10" style="238"/>
    <col min="1281" max="1281" width="5.42578125" style="238" customWidth="1"/>
    <col min="1282" max="1282" width="21.85546875" style="238" customWidth="1"/>
    <col min="1283" max="1283" width="12.28515625" style="238" customWidth="1"/>
    <col min="1284" max="1284" width="10.140625" style="238" customWidth="1"/>
    <col min="1285" max="1285" width="11.28515625" style="238" customWidth="1"/>
    <col min="1286" max="1286" width="10.140625" style="238" customWidth="1"/>
    <col min="1287" max="1287" width="11.85546875" style="238" customWidth="1"/>
    <col min="1288" max="1288" width="10.42578125" style="238" customWidth="1"/>
    <col min="1289" max="1289" width="12.140625" style="238" customWidth="1"/>
    <col min="1290" max="1290" width="11.140625" style="238" customWidth="1"/>
    <col min="1291" max="1292" width="11" style="238" customWidth="1"/>
    <col min="1293" max="1294" width="10.42578125" style="238" customWidth="1"/>
    <col min="1295" max="1295" width="9.140625" style="238" customWidth="1"/>
    <col min="1296" max="1296" width="8.42578125" style="238" customWidth="1"/>
    <col min="1297" max="1297" width="7.140625" style="238" customWidth="1"/>
    <col min="1298" max="1298" width="9.7109375" style="238" customWidth="1"/>
    <col min="1299" max="1299" width="8.42578125" style="238" bestFit="1" customWidth="1"/>
    <col min="1300" max="1300" width="6.5703125" style="238" customWidth="1"/>
    <col min="1301" max="1301" width="19.140625" style="238" customWidth="1"/>
    <col min="1302" max="1536" width="10" style="238"/>
    <col min="1537" max="1537" width="5.42578125" style="238" customWidth="1"/>
    <col min="1538" max="1538" width="21.85546875" style="238" customWidth="1"/>
    <col min="1539" max="1539" width="12.28515625" style="238" customWidth="1"/>
    <col min="1540" max="1540" width="10.140625" style="238" customWidth="1"/>
    <col min="1541" max="1541" width="11.28515625" style="238" customWidth="1"/>
    <col min="1542" max="1542" width="10.140625" style="238" customWidth="1"/>
    <col min="1543" max="1543" width="11.85546875" style="238" customWidth="1"/>
    <col min="1544" max="1544" width="10.42578125" style="238" customWidth="1"/>
    <col min="1545" max="1545" width="12.140625" style="238" customWidth="1"/>
    <col min="1546" max="1546" width="11.140625" style="238" customWidth="1"/>
    <col min="1547" max="1548" width="11" style="238" customWidth="1"/>
    <col min="1549" max="1550" width="10.42578125" style="238" customWidth="1"/>
    <col min="1551" max="1551" width="9.140625" style="238" customWidth="1"/>
    <col min="1552" max="1552" width="8.42578125" style="238" customWidth="1"/>
    <col min="1553" max="1553" width="7.140625" style="238" customWidth="1"/>
    <col min="1554" max="1554" width="9.7109375" style="238" customWidth="1"/>
    <col min="1555" max="1555" width="8.42578125" style="238" bestFit="1" customWidth="1"/>
    <col min="1556" max="1556" width="6.5703125" style="238" customWidth="1"/>
    <col min="1557" max="1557" width="19.140625" style="238" customWidth="1"/>
    <col min="1558" max="1792" width="10" style="238"/>
    <col min="1793" max="1793" width="5.42578125" style="238" customWidth="1"/>
    <col min="1794" max="1794" width="21.85546875" style="238" customWidth="1"/>
    <col min="1795" max="1795" width="12.28515625" style="238" customWidth="1"/>
    <col min="1796" max="1796" width="10.140625" style="238" customWidth="1"/>
    <col min="1797" max="1797" width="11.28515625" style="238" customWidth="1"/>
    <col min="1798" max="1798" width="10.140625" style="238" customWidth="1"/>
    <col min="1799" max="1799" width="11.85546875" style="238" customWidth="1"/>
    <col min="1800" max="1800" width="10.42578125" style="238" customWidth="1"/>
    <col min="1801" max="1801" width="12.140625" style="238" customWidth="1"/>
    <col min="1802" max="1802" width="11.140625" style="238" customWidth="1"/>
    <col min="1803" max="1804" width="11" style="238" customWidth="1"/>
    <col min="1805" max="1806" width="10.42578125" style="238" customWidth="1"/>
    <col min="1807" max="1807" width="9.140625" style="238" customWidth="1"/>
    <col min="1808" max="1808" width="8.42578125" style="238" customWidth="1"/>
    <col min="1809" max="1809" width="7.140625" style="238" customWidth="1"/>
    <col min="1810" max="1810" width="9.7109375" style="238" customWidth="1"/>
    <col min="1811" max="1811" width="8.42578125" style="238" bestFit="1" customWidth="1"/>
    <col min="1812" max="1812" width="6.5703125" style="238" customWidth="1"/>
    <col min="1813" max="1813" width="19.140625" style="238" customWidth="1"/>
    <col min="1814" max="2048" width="10" style="238"/>
    <col min="2049" max="2049" width="5.42578125" style="238" customWidth="1"/>
    <col min="2050" max="2050" width="21.85546875" style="238" customWidth="1"/>
    <col min="2051" max="2051" width="12.28515625" style="238" customWidth="1"/>
    <col min="2052" max="2052" width="10.140625" style="238" customWidth="1"/>
    <col min="2053" max="2053" width="11.28515625" style="238" customWidth="1"/>
    <col min="2054" max="2054" width="10.140625" style="238" customWidth="1"/>
    <col min="2055" max="2055" width="11.85546875" style="238" customWidth="1"/>
    <col min="2056" max="2056" width="10.42578125" style="238" customWidth="1"/>
    <col min="2057" max="2057" width="12.140625" style="238" customWidth="1"/>
    <col min="2058" max="2058" width="11.140625" style="238" customWidth="1"/>
    <col min="2059" max="2060" width="11" style="238" customWidth="1"/>
    <col min="2061" max="2062" width="10.42578125" style="238" customWidth="1"/>
    <col min="2063" max="2063" width="9.140625" style="238" customWidth="1"/>
    <col min="2064" max="2064" width="8.42578125" style="238" customWidth="1"/>
    <col min="2065" max="2065" width="7.140625" style="238" customWidth="1"/>
    <col min="2066" max="2066" width="9.7109375" style="238" customWidth="1"/>
    <col min="2067" max="2067" width="8.42578125" style="238" bestFit="1" customWidth="1"/>
    <col min="2068" max="2068" width="6.5703125" style="238" customWidth="1"/>
    <col min="2069" max="2069" width="19.140625" style="238" customWidth="1"/>
    <col min="2070" max="2304" width="10" style="238"/>
    <col min="2305" max="2305" width="5.42578125" style="238" customWidth="1"/>
    <col min="2306" max="2306" width="21.85546875" style="238" customWidth="1"/>
    <col min="2307" max="2307" width="12.28515625" style="238" customWidth="1"/>
    <col min="2308" max="2308" width="10.140625" style="238" customWidth="1"/>
    <col min="2309" max="2309" width="11.28515625" style="238" customWidth="1"/>
    <col min="2310" max="2310" width="10.140625" style="238" customWidth="1"/>
    <col min="2311" max="2311" width="11.85546875" style="238" customWidth="1"/>
    <col min="2312" max="2312" width="10.42578125" style="238" customWidth="1"/>
    <col min="2313" max="2313" width="12.140625" style="238" customWidth="1"/>
    <col min="2314" max="2314" width="11.140625" style="238" customWidth="1"/>
    <col min="2315" max="2316" width="11" style="238" customWidth="1"/>
    <col min="2317" max="2318" width="10.42578125" style="238" customWidth="1"/>
    <col min="2319" max="2319" width="9.140625" style="238" customWidth="1"/>
    <col min="2320" max="2320" width="8.42578125" style="238" customWidth="1"/>
    <col min="2321" max="2321" width="7.140625" style="238" customWidth="1"/>
    <col min="2322" max="2322" width="9.7109375" style="238" customWidth="1"/>
    <col min="2323" max="2323" width="8.42578125" style="238" bestFit="1" customWidth="1"/>
    <col min="2324" max="2324" width="6.5703125" style="238" customWidth="1"/>
    <col min="2325" max="2325" width="19.140625" style="238" customWidth="1"/>
    <col min="2326" max="2560" width="10" style="238"/>
    <col min="2561" max="2561" width="5.42578125" style="238" customWidth="1"/>
    <col min="2562" max="2562" width="21.85546875" style="238" customWidth="1"/>
    <col min="2563" max="2563" width="12.28515625" style="238" customWidth="1"/>
    <col min="2564" max="2564" width="10.140625" style="238" customWidth="1"/>
    <col min="2565" max="2565" width="11.28515625" style="238" customWidth="1"/>
    <col min="2566" max="2566" width="10.140625" style="238" customWidth="1"/>
    <col min="2567" max="2567" width="11.85546875" style="238" customWidth="1"/>
    <col min="2568" max="2568" width="10.42578125" style="238" customWidth="1"/>
    <col min="2569" max="2569" width="12.140625" style="238" customWidth="1"/>
    <col min="2570" max="2570" width="11.140625" style="238" customWidth="1"/>
    <col min="2571" max="2572" width="11" style="238" customWidth="1"/>
    <col min="2573" max="2574" width="10.42578125" style="238" customWidth="1"/>
    <col min="2575" max="2575" width="9.140625" style="238" customWidth="1"/>
    <col min="2576" max="2576" width="8.42578125" style="238" customWidth="1"/>
    <col min="2577" max="2577" width="7.140625" style="238" customWidth="1"/>
    <col min="2578" max="2578" width="9.7109375" style="238" customWidth="1"/>
    <col min="2579" max="2579" width="8.42578125" style="238" bestFit="1" customWidth="1"/>
    <col min="2580" max="2580" width="6.5703125" style="238" customWidth="1"/>
    <col min="2581" max="2581" width="19.140625" style="238" customWidth="1"/>
    <col min="2582" max="2816" width="10" style="238"/>
    <col min="2817" max="2817" width="5.42578125" style="238" customWidth="1"/>
    <col min="2818" max="2818" width="21.85546875" style="238" customWidth="1"/>
    <col min="2819" max="2819" width="12.28515625" style="238" customWidth="1"/>
    <col min="2820" max="2820" width="10.140625" style="238" customWidth="1"/>
    <col min="2821" max="2821" width="11.28515625" style="238" customWidth="1"/>
    <col min="2822" max="2822" width="10.140625" style="238" customWidth="1"/>
    <col min="2823" max="2823" width="11.85546875" style="238" customWidth="1"/>
    <col min="2824" max="2824" width="10.42578125" style="238" customWidth="1"/>
    <col min="2825" max="2825" width="12.140625" style="238" customWidth="1"/>
    <col min="2826" max="2826" width="11.140625" style="238" customWidth="1"/>
    <col min="2827" max="2828" width="11" style="238" customWidth="1"/>
    <col min="2829" max="2830" width="10.42578125" style="238" customWidth="1"/>
    <col min="2831" max="2831" width="9.140625" style="238" customWidth="1"/>
    <col min="2832" max="2832" width="8.42578125" style="238" customWidth="1"/>
    <col min="2833" max="2833" width="7.140625" style="238" customWidth="1"/>
    <col min="2834" max="2834" width="9.7109375" style="238" customWidth="1"/>
    <col min="2835" max="2835" width="8.42578125" style="238" bestFit="1" customWidth="1"/>
    <col min="2836" max="2836" width="6.5703125" style="238" customWidth="1"/>
    <col min="2837" max="2837" width="19.140625" style="238" customWidth="1"/>
    <col min="2838" max="3072" width="10" style="238"/>
    <col min="3073" max="3073" width="5.42578125" style="238" customWidth="1"/>
    <col min="3074" max="3074" width="21.85546875" style="238" customWidth="1"/>
    <col min="3075" max="3075" width="12.28515625" style="238" customWidth="1"/>
    <col min="3076" max="3076" width="10.140625" style="238" customWidth="1"/>
    <col min="3077" max="3077" width="11.28515625" style="238" customWidth="1"/>
    <col min="3078" max="3078" width="10.140625" style="238" customWidth="1"/>
    <col min="3079" max="3079" width="11.85546875" style="238" customWidth="1"/>
    <col min="3080" max="3080" width="10.42578125" style="238" customWidth="1"/>
    <col min="3081" max="3081" width="12.140625" style="238" customWidth="1"/>
    <col min="3082" max="3082" width="11.140625" style="238" customWidth="1"/>
    <col min="3083" max="3084" width="11" style="238" customWidth="1"/>
    <col min="3085" max="3086" width="10.42578125" style="238" customWidth="1"/>
    <col min="3087" max="3087" width="9.140625" style="238" customWidth="1"/>
    <col min="3088" max="3088" width="8.42578125" style="238" customWidth="1"/>
    <col min="3089" max="3089" width="7.140625" style="238" customWidth="1"/>
    <col min="3090" max="3090" width="9.7109375" style="238" customWidth="1"/>
    <col min="3091" max="3091" width="8.42578125" style="238" bestFit="1" customWidth="1"/>
    <col min="3092" max="3092" width="6.5703125" style="238" customWidth="1"/>
    <col min="3093" max="3093" width="19.140625" style="238" customWidth="1"/>
    <col min="3094" max="3328" width="10" style="238"/>
    <col min="3329" max="3329" width="5.42578125" style="238" customWidth="1"/>
    <col min="3330" max="3330" width="21.85546875" style="238" customWidth="1"/>
    <col min="3331" max="3331" width="12.28515625" style="238" customWidth="1"/>
    <col min="3332" max="3332" width="10.140625" style="238" customWidth="1"/>
    <col min="3333" max="3333" width="11.28515625" style="238" customWidth="1"/>
    <col min="3334" max="3334" width="10.140625" style="238" customWidth="1"/>
    <col min="3335" max="3335" width="11.85546875" style="238" customWidth="1"/>
    <col min="3336" max="3336" width="10.42578125" style="238" customWidth="1"/>
    <col min="3337" max="3337" width="12.140625" style="238" customWidth="1"/>
    <col min="3338" max="3338" width="11.140625" style="238" customWidth="1"/>
    <col min="3339" max="3340" width="11" style="238" customWidth="1"/>
    <col min="3341" max="3342" width="10.42578125" style="238" customWidth="1"/>
    <col min="3343" max="3343" width="9.140625" style="238" customWidth="1"/>
    <col min="3344" max="3344" width="8.42578125" style="238" customWidth="1"/>
    <col min="3345" max="3345" width="7.140625" style="238" customWidth="1"/>
    <col min="3346" max="3346" width="9.7109375" style="238" customWidth="1"/>
    <col min="3347" max="3347" width="8.42578125" style="238" bestFit="1" customWidth="1"/>
    <col min="3348" max="3348" width="6.5703125" style="238" customWidth="1"/>
    <col min="3349" max="3349" width="19.140625" style="238" customWidth="1"/>
    <col min="3350" max="3584" width="10" style="238"/>
    <col min="3585" max="3585" width="5.42578125" style="238" customWidth="1"/>
    <col min="3586" max="3586" width="21.85546875" style="238" customWidth="1"/>
    <col min="3587" max="3587" width="12.28515625" style="238" customWidth="1"/>
    <col min="3588" max="3588" width="10.140625" style="238" customWidth="1"/>
    <col min="3589" max="3589" width="11.28515625" style="238" customWidth="1"/>
    <col min="3590" max="3590" width="10.140625" style="238" customWidth="1"/>
    <col min="3591" max="3591" width="11.85546875" style="238" customWidth="1"/>
    <col min="3592" max="3592" width="10.42578125" style="238" customWidth="1"/>
    <col min="3593" max="3593" width="12.140625" style="238" customWidth="1"/>
    <col min="3594" max="3594" width="11.140625" style="238" customWidth="1"/>
    <col min="3595" max="3596" width="11" style="238" customWidth="1"/>
    <col min="3597" max="3598" width="10.42578125" style="238" customWidth="1"/>
    <col min="3599" max="3599" width="9.140625" style="238" customWidth="1"/>
    <col min="3600" max="3600" width="8.42578125" style="238" customWidth="1"/>
    <col min="3601" max="3601" width="7.140625" style="238" customWidth="1"/>
    <col min="3602" max="3602" width="9.7109375" style="238" customWidth="1"/>
    <col min="3603" max="3603" width="8.42578125" style="238" bestFit="1" customWidth="1"/>
    <col min="3604" max="3604" width="6.5703125" style="238" customWidth="1"/>
    <col min="3605" max="3605" width="19.140625" style="238" customWidth="1"/>
    <col min="3606" max="3840" width="10" style="238"/>
    <col min="3841" max="3841" width="5.42578125" style="238" customWidth="1"/>
    <col min="3842" max="3842" width="21.85546875" style="238" customWidth="1"/>
    <col min="3843" max="3843" width="12.28515625" style="238" customWidth="1"/>
    <col min="3844" max="3844" width="10.140625" style="238" customWidth="1"/>
    <col min="3845" max="3845" width="11.28515625" style="238" customWidth="1"/>
    <col min="3846" max="3846" width="10.140625" style="238" customWidth="1"/>
    <col min="3847" max="3847" width="11.85546875" style="238" customWidth="1"/>
    <col min="3848" max="3848" width="10.42578125" style="238" customWidth="1"/>
    <col min="3849" max="3849" width="12.140625" style="238" customWidth="1"/>
    <col min="3850" max="3850" width="11.140625" style="238" customWidth="1"/>
    <col min="3851" max="3852" width="11" style="238" customWidth="1"/>
    <col min="3853" max="3854" width="10.42578125" style="238" customWidth="1"/>
    <col min="3855" max="3855" width="9.140625" style="238" customWidth="1"/>
    <col min="3856" max="3856" width="8.42578125" style="238" customWidth="1"/>
    <col min="3857" max="3857" width="7.140625" style="238" customWidth="1"/>
    <col min="3858" max="3858" width="9.7109375" style="238" customWidth="1"/>
    <col min="3859" max="3859" width="8.42578125" style="238" bestFit="1" customWidth="1"/>
    <col min="3860" max="3860" width="6.5703125" style="238" customWidth="1"/>
    <col min="3861" max="3861" width="19.140625" style="238" customWidth="1"/>
    <col min="3862" max="4096" width="10" style="238"/>
    <col min="4097" max="4097" width="5.42578125" style="238" customWidth="1"/>
    <col min="4098" max="4098" width="21.85546875" style="238" customWidth="1"/>
    <col min="4099" max="4099" width="12.28515625" style="238" customWidth="1"/>
    <col min="4100" max="4100" width="10.140625" style="238" customWidth="1"/>
    <col min="4101" max="4101" width="11.28515625" style="238" customWidth="1"/>
    <col min="4102" max="4102" width="10.140625" style="238" customWidth="1"/>
    <col min="4103" max="4103" width="11.85546875" style="238" customWidth="1"/>
    <col min="4104" max="4104" width="10.42578125" style="238" customWidth="1"/>
    <col min="4105" max="4105" width="12.140625" style="238" customWidth="1"/>
    <col min="4106" max="4106" width="11.140625" style="238" customWidth="1"/>
    <col min="4107" max="4108" width="11" style="238" customWidth="1"/>
    <col min="4109" max="4110" width="10.42578125" style="238" customWidth="1"/>
    <col min="4111" max="4111" width="9.140625" style="238" customWidth="1"/>
    <col min="4112" max="4112" width="8.42578125" style="238" customWidth="1"/>
    <col min="4113" max="4113" width="7.140625" style="238" customWidth="1"/>
    <col min="4114" max="4114" width="9.7109375" style="238" customWidth="1"/>
    <col min="4115" max="4115" width="8.42578125" style="238" bestFit="1" customWidth="1"/>
    <col min="4116" max="4116" width="6.5703125" style="238" customWidth="1"/>
    <col min="4117" max="4117" width="19.140625" style="238" customWidth="1"/>
    <col min="4118" max="4352" width="10" style="238"/>
    <col min="4353" max="4353" width="5.42578125" style="238" customWidth="1"/>
    <col min="4354" max="4354" width="21.85546875" style="238" customWidth="1"/>
    <col min="4355" max="4355" width="12.28515625" style="238" customWidth="1"/>
    <col min="4356" max="4356" width="10.140625" style="238" customWidth="1"/>
    <col min="4357" max="4357" width="11.28515625" style="238" customWidth="1"/>
    <col min="4358" max="4358" width="10.140625" style="238" customWidth="1"/>
    <col min="4359" max="4359" width="11.85546875" style="238" customWidth="1"/>
    <col min="4360" max="4360" width="10.42578125" style="238" customWidth="1"/>
    <col min="4361" max="4361" width="12.140625" style="238" customWidth="1"/>
    <col min="4362" max="4362" width="11.140625" style="238" customWidth="1"/>
    <col min="4363" max="4364" width="11" style="238" customWidth="1"/>
    <col min="4365" max="4366" width="10.42578125" style="238" customWidth="1"/>
    <col min="4367" max="4367" width="9.140625" style="238" customWidth="1"/>
    <col min="4368" max="4368" width="8.42578125" style="238" customWidth="1"/>
    <col min="4369" max="4369" width="7.140625" style="238" customWidth="1"/>
    <col min="4370" max="4370" width="9.7109375" style="238" customWidth="1"/>
    <col min="4371" max="4371" width="8.42578125" style="238" bestFit="1" customWidth="1"/>
    <col min="4372" max="4372" width="6.5703125" style="238" customWidth="1"/>
    <col min="4373" max="4373" width="19.140625" style="238" customWidth="1"/>
    <col min="4374" max="4608" width="10" style="238"/>
    <col min="4609" max="4609" width="5.42578125" style="238" customWidth="1"/>
    <col min="4610" max="4610" width="21.85546875" style="238" customWidth="1"/>
    <col min="4611" max="4611" width="12.28515625" style="238" customWidth="1"/>
    <col min="4612" max="4612" width="10.140625" style="238" customWidth="1"/>
    <col min="4613" max="4613" width="11.28515625" style="238" customWidth="1"/>
    <col min="4614" max="4614" width="10.140625" style="238" customWidth="1"/>
    <col min="4615" max="4615" width="11.85546875" style="238" customWidth="1"/>
    <col min="4616" max="4616" width="10.42578125" style="238" customWidth="1"/>
    <col min="4617" max="4617" width="12.140625" style="238" customWidth="1"/>
    <col min="4618" max="4618" width="11.140625" style="238" customWidth="1"/>
    <col min="4619" max="4620" width="11" style="238" customWidth="1"/>
    <col min="4621" max="4622" width="10.42578125" style="238" customWidth="1"/>
    <col min="4623" max="4623" width="9.140625" style="238" customWidth="1"/>
    <col min="4624" max="4624" width="8.42578125" style="238" customWidth="1"/>
    <col min="4625" max="4625" width="7.140625" style="238" customWidth="1"/>
    <col min="4626" max="4626" width="9.7109375" style="238" customWidth="1"/>
    <col min="4627" max="4627" width="8.42578125" style="238" bestFit="1" customWidth="1"/>
    <col min="4628" max="4628" width="6.5703125" style="238" customWidth="1"/>
    <col min="4629" max="4629" width="19.140625" style="238" customWidth="1"/>
    <col min="4630" max="4864" width="10" style="238"/>
    <col min="4865" max="4865" width="5.42578125" style="238" customWidth="1"/>
    <col min="4866" max="4866" width="21.85546875" style="238" customWidth="1"/>
    <col min="4867" max="4867" width="12.28515625" style="238" customWidth="1"/>
    <col min="4868" max="4868" width="10.140625" style="238" customWidth="1"/>
    <col min="4869" max="4869" width="11.28515625" style="238" customWidth="1"/>
    <col min="4870" max="4870" width="10.140625" style="238" customWidth="1"/>
    <col min="4871" max="4871" width="11.85546875" style="238" customWidth="1"/>
    <col min="4872" max="4872" width="10.42578125" style="238" customWidth="1"/>
    <col min="4873" max="4873" width="12.140625" style="238" customWidth="1"/>
    <col min="4874" max="4874" width="11.140625" style="238" customWidth="1"/>
    <col min="4875" max="4876" width="11" style="238" customWidth="1"/>
    <col min="4877" max="4878" width="10.42578125" style="238" customWidth="1"/>
    <col min="4879" max="4879" width="9.140625" style="238" customWidth="1"/>
    <col min="4880" max="4880" width="8.42578125" style="238" customWidth="1"/>
    <col min="4881" max="4881" width="7.140625" style="238" customWidth="1"/>
    <col min="4882" max="4882" width="9.7109375" style="238" customWidth="1"/>
    <col min="4883" max="4883" width="8.42578125" style="238" bestFit="1" customWidth="1"/>
    <col min="4884" max="4884" width="6.5703125" style="238" customWidth="1"/>
    <col min="4885" max="4885" width="19.140625" style="238" customWidth="1"/>
    <col min="4886" max="5120" width="10" style="238"/>
    <col min="5121" max="5121" width="5.42578125" style="238" customWidth="1"/>
    <col min="5122" max="5122" width="21.85546875" style="238" customWidth="1"/>
    <col min="5123" max="5123" width="12.28515625" style="238" customWidth="1"/>
    <col min="5124" max="5124" width="10.140625" style="238" customWidth="1"/>
    <col min="5125" max="5125" width="11.28515625" style="238" customWidth="1"/>
    <col min="5126" max="5126" width="10.140625" style="238" customWidth="1"/>
    <col min="5127" max="5127" width="11.85546875" style="238" customWidth="1"/>
    <col min="5128" max="5128" width="10.42578125" style="238" customWidth="1"/>
    <col min="5129" max="5129" width="12.140625" style="238" customWidth="1"/>
    <col min="5130" max="5130" width="11.140625" style="238" customWidth="1"/>
    <col min="5131" max="5132" width="11" style="238" customWidth="1"/>
    <col min="5133" max="5134" width="10.42578125" style="238" customWidth="1"/>
    <col min="5135" max="5135" width="9.140625" style="238" customWidth="1"/>
    <col min="5136" max="5136" width="8.42578125" style="238" customWidth="1"/>
    <col min="5137" max="5137" width="7.140625" style="238" customWidth="1"/>
    <col min="5138" max="5138" width="9.7109375" style="238" customWidth="1"/>
    <col min="5139" max="5139" width="8.42578125" style="238" bestFit="1" customWidth="1"/>
    <col min="5140" max="5140" width="6.5703125" style="238" customWidth="1"/>
    <col min="5141" max="5141" width="19.140625" style="238" customWidth="1"/>
    <col min="5142" max="5376" width="10" style="238"/>
    <col min="5377" max="5377" width="5.42578125" style="238" customWidth="1"/>
    <col min="5378" max="5378" width="21.85546875" style="238" customWidth="1"/>
    <col min="5379" max="5379" width="12.28515625" style="238" customWidth="1"/>
    <col min="5380" max="5380" width="10.140625" style="238" customWidth="1"/>
    <col min="5381" max="5381" width="11.28515625" style="238" customWidth="1"/>
    <col min="5382" max="5382" width="10.140625" style="238" customWidth="1"/>
    <col min="5383" max="5383" width="11.85546875" style="238" customWidth="1"/>
    <col min="5384" max="5384" width="10.42578125" style="238" customWidth="1"/>
    <col min="5385" max="5385" width="12.140625" style="238" customWidth="1"/>
    <col min="5386" max="5386" width="11.140625" style="238" customWidth="1"/>
    <col min="5387" max="5388" width="11" style="238" customWidth="1"/>
    <col min="5389" max="5390" width="10.42578125" style="238" customWidth="1"/>
    <col min="5391" max="5391" width="9.140625" style="238" customWidth="1"/>
    <col min="5392" max="5392" width="8.42578125" style="238" customWidth="1"/>
    <col min="5393" max="5393" width="7.140625" style="238" customWidth="1"/>
    <col min="5394" max="5394" width="9.7109375" style="238" customWidth="1"/>
    <col min="5395" max="5395" width="8.42578125" style="238" bestFit="1" customWidth="1"/>
    <col min="5396" max="5396" width="6.5703125" style="238" customWidth="1"/>
    <col min="5397" max="5397" width="19.140625" style="238" customWidth="1"/>
    <col min="5398" max="5632" width="10" style="238"/>
    <col min="5633" max="5633" width="5.42578125" style="238" customWidth="1"/>
    <col min="5634" max="5634" width="21.85546875" style="238" customWidth="1"/>
    <col min="5635" max="5635" width="12.28515625" style="238" customWidth="1"/>
    <col min="5636" max="5636" width="10.140625" style="238" customWidth="1"/>
    <col min="5637" max="5637" width="11.28515625" style="238" customWidth="1"/>
    <col min="5638" max="5638" width="10.140625" style="238" customWidth="1"/>
    <col min="5639" max="5639" width="11.85546875" style="238" customWidth="1"/>
    <col min="5640" max="5640" width="10.42578125" style="238" customWidth="1"/>
    <col min="5641" max="5641" width="12.140625" style="238" customWidth="1"/>
    <col min="5642" max="5642" width="11.140625" style="238" customWidth="1"/>
    <col min="5643" max="5644" width="11" style="238" customWidth="1"/>
    <col min="5645" max="5646" width="10.42578125" style="238" customWidth="1"/>
    <col min="5647" max="5647" width="9.140625" style="238" customWidth="1"/>
    <col min="5648" max="5648" width="8.42578125" style="238" customWidth="1"/>
    <col min="5649" max="5649" width="7.140625" style="238" customWidth="1"/>
    <col min="5650" max="5650" width="9.7109375" style="238" customWidth="1"/>
    <col min="5651" max="5651" width="8.42578125" style="238" bestFit="1" customWidth="1"/>
    <col min="5652" max="5652" width="6.5703125" style="238" customWidth="1"/>
    <col min="5653" max="5653" width="19.140625" style="238" customWidth="1"/>
    <col min="5654" max="5888" width="10" style="238"/>
    <col min="5889" max="5889" width="5.42578125" style="238" customWidth="1"/>
    <col min="5890" max="5890" width="21.85546875" style="238" customWidth="1"/>
    <col min="5891" max="5891" width="12.28515625" style="238" customWidth="1"/>
    <col min="5892" max="5892" width="10.140625" style="238" customWidth="1"/>
    <col min="5893" max="5893" width="11.28515625" style="238" customWidth="1"/>
    <col min="5894" max="5894" width="10.140625" style="238" customWidth="1"/>
    <col min="5895" max="5895" width="11.85546875" style="238" customWidth="1"/>
    <col min="5896" max="5896" width="10.42578125" style="238" customWidth="1"/>
    <col min="5897" max="5897" width="12.140625" style="238" customWidth="1"/>
    <col min="5898" max="5898" width="11.140625" style="238" customWidth="1"/>
    <col min="5899" max="5900" width="11" style="238" customWidth="1"/>
    <col min="5901" max="5902" width="10.42578125" style="238" customWidth="1"/>
    <col min="5903" max="5903" width="9.140625" style="238" customWidth="1"/>
    <col min="5904" max="5904" width="8.42578125" style="238" customWidth="1"/>
    <col min="5905" max="5905" width="7.140625" style="238" customWidth="1"/>
    <col min="5906" max="5906" width="9.7109375" style="238" customWidth="1"/>
    <col min="5907" max="5907" width="8.42578125" style="238" bestFit="1" customWidth="1"/>
    <col min="5908" max="5908" width="6.5703125" style="238" customWidth="1"/>
    <col min="5909" max="5909" width="19.140625" style="238" customWidth="1"/>
    <col min="5910" max="6144" width="10" style="238"/>
    <col min="6145" max="6145" width="5.42578125" style="238" customWidth="1"/>
    <col min="6146" max="6146" width="21.85546875" style="238" customWidth="1"/>
    <col min="6147" max="6147" width="12.28515625" style="238" customWidth="1"/>
    <col min="6148" max="6148" width="10.140625" style="238" customWidth="1"/>
    <col min="6149" max="6149" width="11.28515625" style="238" customWidth="1"/>
    <col min="6150" max="6150" width="10.140625" style="238" customWidth="1"/>
    <col min="6151" max="6151" width="11.85546875" style="238" customWidth="1"/>
    <col min="6152" max="6152" width="10.42578125" style="238" customWidth="1"/>
    <col min="6153" max="6153" width="12.140625" style="238" customWidth="1"/>
    <col min="6154" max="6154" width="11.140625" style="238" customWidth="1"/>
    <col min="6155" max="6156" width="11" style="238" customWidth="1"/>
    <col min="6157" max="6158" width="10.42578125" style="238" customWidth="1"/>
    <col min="6159" max="6159" width="9.140625" style="238" customWidth="1"/>
    <col min="6160" max="6160" width="8.42578125" style="238" customWidth="1"/>
    <col min="6161" max="6161" width="7.140625" style="238" customWidth="1"/>
    <col min="6162" max="6162" width="9.7109375" style="238" customWidth="1"/>
    <col min="6163" max="6163" width="8.42578125" style="238" bestFit="1" customWidth="1"/>
    <col min="6164" max="6164" width="6.5703125" style="238" customWidth="1"/>
    <col min="6165" max="6165" width="19.140625" style="238" customWidth="1"/>
    <col min="6166" max="6400" width="10" style="238"/>
    <col min="6401" max="6401" width="5.42578125" style="238" customWidth="1"/>
    <col min="6402" max="6402" width="21.85546875" style="238" customWidth="1"/>
    <col min="6403" max="6403" width="12.28515625" style="238" customWidth="1"/>
    <col min="6404" max="6404" width="10.140625" style="238" customWidth="1"/>
    <col min="6405" max="6405" width="11.28515625" style="238" customWidth="1"/>
    <col min="6406" max="6406" width="10.140625" style="238" customWidth="1"/>
    <col min="6407" max="6407" width="11.85546875" style="238" customWidth="1"/>
    <col min="6408" max="6408" width="10.42578125" style="238" customWidth="1"/>
    <col min="6409" max="6409" width="12.140625" style="238" customWidth="1"/>
    <col min="6410" max="6410" width="11.140625" style="238" customWidth="1"/>
    <col min="6411" max="6412" width="11" style="238" customWidth="1"/>
    <col min="6413" max="6414" width="10.42578125" style="238" customWidth="1"/>
    <col min="6415" max="6415" width="9.140625" style="238" customWidth="1"/>
    <col min="6416" max="6416" width="8.42578125" style="238" customWidth="1"/>
    <col min="6417" max="6417" width="7.140625" style="238" customWidth="1"/>
    <col min="6418" max="6418" width="9.7109375" style="238" customWidth="1"/>
    <col min="6419" max="6419" width="8.42578125" style="238" bestFit="1" customWidth="1"/>
    <col min="6420" max="6420" width="6.5703125" style="238" customWidth="1"/>
    <col min="6421" max="6421" width="19.140625" style="238" customWidth="1"/>
    <col min="6422" max="6656" width="10" style="238"/>
    <col min="6657" max="6657" width="5.42578125" style="238" customWidth="1"/>
    <col min="6658" max="6658" width="21.85546875" style="238" customWidth="1"/>
    <col min="6659" max="6659" width="12.28515625" style="238" customWidth="1"/>
    <col min="6660" max="6660" width="10.140625" style="238" customWidth="1"/>
    <col min="6661" max="6661" width="11.28515625" style="238" customWidth="1"/>
    <col min="6662" max="6662" width="10.140625" style="238" customWidth="1"/>
    <col min="6663" max="6663" width="11.85546875" style="238" customWidth="1"/>
    <col min="6664" max="6664" width="10.42578125" style="238" customWidth="1"/>
    <col min="6665" max="6665" width="12.140625" style="238" customWidth="1"/>
    <col min="6666" max="6666" width="11.140625" style="238" customWidth="1"/>
    <col min="6667" max="6668" width="11" style="238" customWidth="1"/>
    <col min="6669" max="6670" width="10.42578125" style="238" customWidth="1"/>
    <col min="6671" max="6671" width="9.140625" style="238" customWidth="1"/>
    <col min="6672" max="6672" width="8.42578125" style="238" customWidth="1"/>
    <col min="6673" max="6673" width="7.140625" style="238" customWidth="1"/>
    <col min="6674" max="6674" width="9.7109375" style="238" customWidth="1"/>
    <col min="6675" max="6675" width="8.42578125" style="238" bestFit="1" customWidth="1"/>
    <col min="6676" max="6676" width="6.5703125" style="238" customWidth="1"/>
    <col min="6677" max="6677" width="19.140625" style="238" customWidth="1"/>
    <col min="6678" max="6912" width="10" style="238"/>
    <col min="6913" max="6913" width="5.42578125" style="238" customWidth="1"/>
    <col min="6914" max="6914" width="21.85546875" style="238" customWidth="1"/>
    <col min="6915" max="6915" width="12.28515625" style="238" customWidth="1"/>
    <col min="6916" max="6916" width="10.140625" style="238" customWidth="1"/>
    <col min="6917" max="6917" width="11.28515625" style="238" customWidth="1"/>
    <col min="6918" max="6918" width="10.140625" style="238" customWidth="1"/>
    <col min="6919" max="6919" width="11.85546875" style="238" customWidth="1"/>
    <col min="6920" max="6920" width="10.42578125" style="238" customWidth="1"/>
    <col min="6921" max="6921" width="12.140625" style="238" customWidth="1"/>
    <col min="6922" max="6922" width="11.140625" style="238" customWidth="1"/>
    <col min="6923" max="6924" width="11" style="238" customWidth="1"/>
    <col min="6925" max="6926" width="10.42578125" style="238" customWidth="1"/>
    <col min="6927" max="6927" width="9.140625" style="238" customWidth="1"/>
    <col min="6928" max="6928" width="8.42578125" style="238" customWidth="1"/>
    <col min="6929" max="6929" width="7.140625" style="238" customWidth="1"/>
    <col min="6930" max="6930" width="9.7109375" style="238" customWidth="1"/>
    <col min="6931" max="6931" width="8.42578125" style="238" bestFit="1" customWidth="1"/>
    <col min="6932" max="6932" width="6.5703125" style="238" customWidth="1"/>
    <col min="6933" max="6933" width="19.140625" style="238" customWidth="1"/>
    <col min="6934" max="7168" width="10" style="238"/>
    <col min="7169" max="7169" width="5.42578125" style="238" customWidth="1"/>
    <col min="7170" max="7170" width="21.85546875" style="238" customWidth="1"/>
    <col min="7171" max="7171" width="12.28515625" style="238" customWidth="1"/>
    <col min="7172" max="7172" width="10.140625" style="238" customWidth="1"/>
    <col min="7173" max="7173" width="11.28515625" style="238" customWidth="1"/>
    <col min="7174" max="7174" width="10.140625" style="238" customWidth="1"/>
    <col min="7175" max="7175" width="11.85546875" style="238" customWidth="1"/>
    <col min="7176" max="7176" width="10.42578125" style="238" customWidth="1"/>
    <col min="7177" max="7177" width="12.140625" style="238" customWidth="1"/>
    <col min="7178" max="7178" width="11.140625" style="238" customWidth="1"/>
    <col min="7179" max="7180" width="11" style="238" customWidth="1"/>
    <col min="7181" max="7182" width="10.42578125" style="238" customWidth="1"/>
    <col min="7183" max="7183" width="9.140625" style="238" customWidth="1"/>
    <col min="7184" max="7184" width="8.42578125" style="238" customWidth="1"/>
    <col min="7185" max="7185" width="7.140625" style="238" customWidth="1"/>
    <col min="7186" max="7186" width="9.7109375" style="238" customWidth="1"/>
    <col min="7187" max="7187" width="8.42578125" style="238" bestFit="1" customWidth="1"/>
    <col min="7188" max="7188" width="6.5703125" style="238" customWidth="1"/>
    <col min="7189" max="7189" width="19.140625" style="238" customWidth="1"/>
    <col min="7190" max="7424" width="10" style="238"/>
    <col min="7425" max="7425" width="5.42578125" style="238" customWidth="1"/>
    <col min="7426" max="7426" width="21.85546875" style="238" customWidth="1"/>
    <col min="7427" max="7427" width="12.28515625" style="238" customWidth="1"/>
    <col min="7428" max="7428" width="10.140625" style="238" customWidth="1"/>
    <col min="7429" max="7429" width="11.28515625" style="238" customWidth="1"/>
    <col min="7430" max="7430" width="10.140625" style="238" customWidth="1"/>
    <col min="7431" max="7431" width="11.85546875" style="238" customWidth="1"/>
    <col min="7432" max="7432" width="10.42578125" style="238" customWidth="1"/>
    <col min="7433" max="7433" width="12.140625" style="238" customWidth="1"/>
    <col min="7434" max="7434" width="11.140625" style="238" customWidth="1"/>
    <col min="7435" max="7436" width="11" style="238" customWidth="1"/>
    <col min="7437" max="7438" width="10.42578125" style="238" customWidth="1"/>
    <col min="7439" max="7439" width="9.140625" style="238" customWidth="1"/>
    <col min="7440" max="7440" width="8.42578125" style="238" customWidth="1"/>
    <col min="7441" max="7441" width="7.140625" style="238" customWidth="1"/>
    <col min="7442" max="7442" width="9.7109375" style="238" customWidth="1"/>
    <col min="7443" max="7443" width="8.42578125" style="238" bestFit="1" customWidth="1"/>
    <col min="7444" max="7444" width="6.5703125" style="238" customWidth="1"/>
    <col min="7445" max="7445" width="19.140625" style="238" customWidth="1"/>
    <col min="7446" max="7680" width="10" style="238"/>
    <col min="7681" max="7681" width="5.42578125" style="238" customWidth="1"/>
    <col min="7682" max="7682" width="21.85546875" style="238" customWidth="1"/>
    <col min="7683" max="7683" width="12.28515625" style="238" customWidth="1"/>
    <col min="7684" max="7684" width="10.140625" style="238" customWidth="1"/>
    <col min="7685" max="7685" width="11.28515625" style="238" customWidth="1"/>
    <col min="7686" max="7686" width="10.140625" style="238" customWidth="1"/>
    <col min="7687" max="7687" width="11.85546875" style="238" customWidth="1"/>
    <col min="7688" max="7688" width="10.42578125" style="238" customWidth="1"/>
    <col min="7689" max="7689" width="12.140625" style="238" customWidth="1"/>
    <col min="7690" max="7690" width="11.140625" style="238" customWidth="1"/>
    <col min="7691" max="7692" width="11" style="238" customWidth="1"/>
    <col min="7693" max="7694" width="10.42578125" style="238" customWidth="1"/>
    <col min="7695" max="7695" width="9.140625" style="238" customWidth="1"/>
    <col min="7696" max="7696" width="8.42578125" style="238" customWidth="1"/>
    <col min="7697" max="7697" width="7.140625" style="238" customWidth="1"/>
    <col min="7698" max="7698" width="9.7109375" style="238" customWidth="1"/>
    <col min="7699" max="7699" width="8.42578125" style="238" bestFit="1" customWidth="1"/>
    <col min="7700" max="7700" width="6.5703125" style="238" customWidth="1"/>
    <col min="7701" max="7701" width="19.140625" style="238" customWidth="1"/>
    <col min="7702" max="7936" width="10" style="238"/>
    <col min="7937" max="7937" width="5.42578125" style="238" customWidth="1"/>
    <col min="7938" max="7938" width="21.85546875" style="238" customWidth="1"/>
    <col min="7939" max="7939" width="12.28515625" style="238" customWidth="1"/>
    <col min="7940" max="7940" width="10.140625" style="238" customWidth="1"/>
    <col min="7941" max="7941" width="11.28515625" style="238" customWidth="1"/>
    <col min="7942" max="7942" width="10.140625" style="238" customWidth="1"/>
    <col min="7943" max="7943" width="11.85546875" style="238" customWidth="1"/>
    <col min="7944" max="7944" width="10.42578125" style="238" customWidth="1"/>
    <col min="7945" max="7945" width="12.140625" style="238" customWidth="1"/>
    <col min="7946" max="7946" width="11.140625" style="238" customWidth="1"/>
    <col min="7947" max="7948" width="11" style="238" customWidth="1"/>
    <col min="7949" max="7950" width="10.42578125" style="238" customWidth="1"/>
    <col min="7951" max="7951" width="9.140625" style="238" customWidth="1"/>
    <col min="7952" max="7952" width="8.42578125" style="238" customWidth="1"/>
    <col min="7953" max="7953" width="7.140625" style="238" customWidth="1"/>
    <col min="7954" max="7954" width="9.7109375" style="238" customWidth="1"/>
    <col min="7955" max="7955" width="8.42578125" style="238" bestFit="1" customWidth="1"/>
    <col min="7956" max="7956" width="6.5703125" style="238" customWidth="1"/>
    <col min="7957" max="7957" width="19.140625" style="238" customWidth="1"/>
    <col min="7958" max="8192" width="10" style="238"/>
    <col min="8193" max="8193" width="5.42578125" style="238" customWidth="1"/>
    <col min="8194" max="8194" width="21.85546875" style="238" customWidth="1"/>
    <col min="8195" max="8195" width="12.28515625" style="238" customWidth="1"/>
    <col min="8196" max="8196" width="10.140625" style="238" customWidth="1"/>
    <col min="8197" max="8197" width="11.28515625" style="238" customWidth="1"/>
    <col min="8198" max="8198" width="10.140625" style="238" customWidth="1"/>
    <col min="8199" max="8199" width="11.85546875" style="238" customWidth="1"/>
    <col min="8200" max="8200" width="10.42578125" style="238" customWidth="1"/>
    <col min="8201" max="8201" width="12.140625" style="238" customWidth="1"/>
    <col min="8202" max="8202" width="11.140625" style="238" customWidth="1"/>
    <col min="8203" max="8204" width="11" style="238" customWidth="1"/>
    <col min="8205" max="8206" width="10.42578125" style="238" customWidth="1"/>
    <col min="8207" max="8207" width="9.140625" style="238" customWidth="1"/>
    <col min="8208" max="8208" width="8.42578125" style="238" customWidth="1"/>
    <col min="8209" max="8209" width="7.140625" style="238" customWidth="1"/>
    <col min="8210" max="8210" width="9.7109375" style="238" customWidth="1"/>
    <col min="8211" max="8211" width="8.42578125" style="238" bestFit="1" customWidth="1"/>
    <col min="8212" max="8212" width="6.5703125" style="238" customWidth="1"/>
    <col min="8213" max="8213" width="19.140625" style="238" customWidth="1"/>
    <col min="8214" max="8448" width="10" style="238"/>
    <col min="8449" max="8449" width="5.42578125" style="238" customWidth="1"/>
    <col min="8450" max="8450" width="21.85546875" style="238" customWidth="1"/>
    <col min="8451" max="8451" width="12.28515625" style="238" customWidth="1"/>
    <col min="8452" max="8452" width="10.140625" style="238" customWidth="1"/>
    <col min="8453" max="8453" width="11.28515625" style="238" customWidth="1"/>
    <col min="8454" max="8454" width="10.140625" style="238" customWidth="1"/>
    <col min="8455" max="8455" width="11.85546875" style="238" customWidth="1"/>
    <col min="8456" max="8456" width="10.42578125" style="238" customWidth="1"/>
    <col min="8457" max="8457" width="12.140625" style="238" customWidth="1"/>
    <col min="8458" max="8458" width="11.140625" style="238" customWidth="1"/>
    <col min="8459" max="8460" width="11" style="238" customWidth="1"/>
    <col min="8461" max="8462" width="10.42578125" style="238" customWidth="1"/>
    <col min="8463" max="8463" width="9.140625" style="238" customWidth="1"/>
    <col min="8464" max="8464" width="8.42578125" style="238" customWidth="1"/>
    <col min="8465" max="8465" width="7.140625" style="238" customWidth="1"/>
    <col min="8466" max="8466" width="9.7109375" style="238" customWidth="1"/>
    <col min="8467" max="8467" width="8.42578125" style="238" bestFit="1" customWidth="1"/>
    <col min="8468" max="8468" width="6.5703125" style="238" customWidth="1"/>
    <col min="8469" max="8469" width="19.140625" style="238" customWidth="1"/>
    <col min="8470" max="8704" width="10" style="238"/>
    <col min="8705" max="8705" width="5.42578125" style="238" customWidth="1"/>
    <col min="8706" max="8706" width="21.85546875" style="238" customWidth="1"/>
    <col min="8707" max="8707" width="12.28515625" style="238" customWidth="1"/>
    <col min="8708" max="8708" width="10.140625" style="238" customWidth="1"/>
    <col min="8709" max="8709" width="11.28515625" style="238" customWidth="1"/>
    <col min="8710" max="8710" width="10.140625" style="238" customWidth="1"/>
    <col min="8711" max="8711" width="11.85546875" style="238" customWidth="1"/>
    <col min="8712" max="8712" width="10.42578125" style="238" customWidth="1"/>
    <col min="8713" max="8713" width="12.140625" style="238" customWidth="1"/>
    <col min="8714" max="8714" width="11.140625" style="238" customWidth="1"/>
    <col min="8715" max="8716" width="11" style="238" customWidth="1"/>
    <col min="8717" max="8718" width="10.42578125" style="238" customWidth="1"/>
    <col min="8719" max="8719" width="9.140625" style="238" customWidth="1"/>
    <col min="8720" max="8720" width="8.42578125" style="238" customWidth="1"/>
    <col min="8721" max="8721" width="7.140625" style="238" customWidth="1"/>
    <col min="8722" max="8722" width="9.7109375" style="238" customWidth="1"/>
    <col min="8723" max="8723" width="8.42578125" style="238" bestFit="1" customWidth="1"/>
    <col min="8724" max="8724" width="6.5703125" style="238" customWidth="1"/>
    <col min="8725" max="8725" width="19.140625" style="238" customWidth="1"/>
    <col min="8726" max="8960" width="10" style="238"/>
    <col min="8961" max="8961" width="5.42578125" style="238" customWidth="1"/>
    <col min="8962" max="8962" width="21.85546875" style="238" customWidth="1"/>
    <col min="8963" max="8963" width="12.28515625" style="238" customWidth="1"/>
    <col min="8964" max="8964" width="10.140625" style="238" customWidth="1"/>
    <col min="8965" max="8965" width="11.28515625" style="238" customWidth="1"/>
    <col min="8966" max="8966" width="10.140625" style="238" customWidth="1"/>
    <col min="8967" max="8967" width="11.85546875" style="238" customWidth="1"/>
    <col min="8968" max="8968" width="10.42578125" style="238" customWidth="1"/>
    <col min="8969" max="8969" width="12.140625" style="238" customWidth="1"/>
    <col min="8970" max="8970" width="11.140625" style="238" customWidth="1"/>
    <col min="8971" max="8972" width="11" style="238" customWidth="1"/>
    <col min="8973" max="8974" width="10.42578125" style="238" customWidth="1"/>
    <col min="8975" max="8975" width="9.140625" style="238" customWidth="1"/>
    <col min="8976" max="8976" width="8.42578125" style="238" customWidth="1"/>
    <col min="8977" max="8977" width="7.140625" style="238" customWidth="1"/>
    <col min="8978" max="8978" width="9.7109375" style="238" customWidth="1"/>
    <col min="8979" max="8979" width="8.42578125" style="238" bestFit="1" customWidth="1"/>
    <col min="8980" max="8980" width="6.5703125" style="238" customWidth="1"/>
    <col min="8981" max="8981" width="19.140625" style="238" customWidth="1"/>
    <col min="8982" max="9216" width="10" style="238"/>
    <col min="9217" max="9217" width="5.42578125" style="238" customWidth="1"/>
    <col min="9218" max="9218" width="21.85546875" style="238" customWidth="1"/>
    <col min="9219" max="9219" width="12.28515625" style="238" customWidth="1"/>
    <col min="9220" max="9220" width="10.140625" style="238" customWidth="1"/>
    <col min="9221" max="9221" width="11.28515625" style="238" customWidth="1"/>
    <col min="9222" max="9222" width="10.140625" style="238" customWidth="1"/>
    <col min="9223" max="9223" width="11.85546875" style="238" customWidth="1"/>
    <col min="9224" max="9224" width="10.42578125" style="238" customWidth="1"/>
    <col min="9225" max="9225" width="12.140625" style="238" customWidth="1"/>
    <col min="9226" max="9226" width="11.140625" style="238" customWidth="1"/>
    <col min="9227" max="9228" width="11" style="238" customWidth="1"/>
    <col min="9229" max="9230" width="10.42578125" style="238" customWidth="1"/>
    <col min="9231" max="9231" width="9.140625" style="238" customWidth="1"/>
    <col min="9232" max="9232" width="8.42578125" style="238" customWidth="1"/>
    <col min="9233" max="9233" width="7.140625" style="238" customWidth="1"/>
    <col min="9234" max="9234" width="9.7109375" style="238" customWidth="1"/>
    <col min="9235" max="9235" width="8.42578125" style="238" bestFit="1" customWidth="1"/>
    <col min="9236" max="9236" width="6.5703125" style="238" customWidth="1"/>
    <col min="9237" max="9237" width="19.140625" style="238" customWidth="1"/>
    <col min="9238" max="9472" width="10" style="238"/>
    <col min="9473" max="9473" width="5.42578125" style="238" customWidth="1"/>
    <col min="9474" max="9474" width="21.85546875" style="238" customWidth="1"/>
    <col min="9475" max="9475" width="12.28515625" style="238" customWidth="1"/>
    <col min="9476" max="9476" width="10.140625" style="238" customWidth="1"/>
    <col min="9477" max="9477" width="11.28515625" style="238" customWidth="1"/>
    <col min="9478" max="9478" width="10.140625" style="238" customWidth="1"/>
    <col min="9479" max="9479" width="11.85546875" style="238" customWidth="1"/>
    <col min="9480" max="9480" width="10.42578125" style="238" customWidth="1"/>
    <col min="9481" max="9481" width="12.140625" style="238" customWidth="1"/>
    <col min="9482" max="9482" width="11.140625" style="238" customWidth="1"/>
    <col min="9483" max="9484" width="11" style="238" customWidth="1"/>
    <col min="9485" max="9486" width="10.42578125" style="238" customWidth="1"/>
    <col min="9487" max="9487" width="9.140625" style="238" customWidth="1"/>
    <col min="9488" max="9488" width="8.42578125" style="238" customWidth="1"/>
    <col min="9489" max="9489" width="7.140625" style="238" customWidth="1"/>
    <col min="9490" max="9490" width="9.7109375" style="238" customWidth="1"/>
    <col min="9491" max="9491" width="8.42578125" style="238" bestFit="1" customWidth="1"/>
    <col min="9492" max="9492" width="6.5703125" style="238" customWidth="1"/>
    <col min="9493" max="9493" width="19.140625" style="238" customWidth="1"/>
    <col min="9494" max="9728" width="10" style="238"/>
    <col min="9729" max="9729" width="5.42578125" style="238" customWidth="1"/>
    <col min="9730" max="9730" width="21.85546875" style="238" customWidth="1"/>
    <col min="9731" max="9731" width="12.28515625" style="238" customWidth="1"/>
    <col min="9732" max="9732" width="10.140625" style="238" customWidth="1"/>
    <col min="9733" max="9733" width="11.28515625" style="238" customWidth="1"/>
    <col min="9734" max="9734" width="10.140625" style="238" customWidth="1"/>
    <col min="9735" max="9735" width="11.85546875" style="238" customWidth="1"/>
    <col min="9736" max="9736" width="10.42578125" style="238" customWidth="1"/>
    <col min="9737" max="9737" width="12.140625" style="238" customWidth="1"/>
    <col min="9738" max="9738" width="11.140625" style="238" customWidth="1"/>
    <col min="9739" max="9740" width="11" style="238" customWidth="1"/>
    <col min="9741" max="9742" width="10.42578125" style="238" customWidth="1"/>
    <col min="9743" max="9743" width="9.140625" style="238" customWidth="1"/>
    <col min="9744" max="9744" width="8.42578125" style="238" customWidth="1"/>
    <col min="9745" max="9745" width="7.140625" style="238" customWidth="1"/>
    <col min="9746" max="9746" width="9.7109375" style="238" customWidth="1"/>
    <col min="9747" max="9747" width="8.42578125" style="238" bestFit="1" customWidth="1"/>
    <col min="9748" max="9748" width="6.5703125" style="238" customWidth="1"/>
    <col min="9749" max="9749" width="19.140625" style="238" customWidth="1"/>
    <col min="9750" max="9984" width="10" style="238"/>
    <col min="9985" max="9985" width="5.42578125" style="238" customWidth="1"/>
    <col min="9986" max="9986" width="21.85546875" style="238" customWidth="1"/>
    <col min="9987" max="9987" width="12.28515625" style="238" customWidth="1"/>
    <col min="9988" max="9988" width="10.140625" style="238" customWidth="1"/>
    <col min="9989" max="9989" width="11.28515625" style="238" customWidth="1"/>
    <col min="9990" max="9990" width="10.140625" style="238" customWidth="1"/>
    <col min="9991" max="9991" width="11.85546875" style="238" customWidth="1"/>
    <col min="9992" max="9992" width="10.42578125" style="238" customWidth="1"/>
    <col min="9993" max="9993" width="12.140625" style="238" customWidth="1"/>
    <col min="9994" max="9994" width="11.140625" style="238" customWidth="1"/>
    <col min="9995" max="9996" width="11" style="238" customWidth="1"/>
    <col min="9997" max="9998" width="10.42578125" style="238" customWidth="1"/>
    <col min="9999" max="9999" width="9.140625" style="238" customWidth="1"/>
    <col min="10000" max="10000" width="8.42578125" style="238" customWidth="1"/>
    <col min="10001" max="10001" width="7.140625" style="238" customWidth="1"/>
    <col min="10002" max="10002" width="9.7109375" style="238" customWidth="1"/>
    <col min="10003" max="10003" width="8.42578125" style="238" bestFit="1" customWidth="1"/>
    <col min="10004" max="10004" width="6.5703125" style="238" customWidth="1"/>
    <col min="10005" max="10005" width="19.140625" style="238" customWidth="1"/>
    <col min="10006" max="10240" width="10" style="238"/>
    <col min="10241" max="10241" width="5.42578125" style="238" customWidth="1"/>
    <col min="10242" max="10242" width="21.85546875" style="238" customWidth="1"/>
    <col min="10243" max="10243" width="12.28515625" style="238" customWidth="1"/>
    <col min="10244" max="10244" width="10.140625" style="238" customWidth="1"/>
    <col min="10245" max="10245" width="11.28515625" style="238" customWidth="1"/>
    <col min="10246" max="10246" width="10.140625" style="238" customWidth="1"/>
    <col min="10247" max="10247" width="11.85546875" style="238" customWidth="1"/>
    <col min="10248" max="10248" width="10.42578125" style="238" customWidth="1"/>
    <col min="10249" max="10249" width="12.140625" style="238" customWidth="1"/>
    <col min="10250" max="10250" width="11.140625" style="238" customWidth="1"/>
    <col min="10251" max="10252" width="11" style="238" customWidth="1"/>
    <col min="10253" max="10254" width="10.42578125" style="238" customWidth="1"/>
    <col min="10255" max="10255" width="9.140625" style="238" customWidth="1"/>
    <col min="10256" max="10256" width="8.42578125" style="238" customWidth="1"/>
    <col min="10257" max="10257" width="7.140625" style="238" customWidth="1"/>
    <col min="10258" max="10258" width="9.7109375" style="238" customWidth="1"/>
    <col min="10259" max="10259" width="8.42578125" style="238" bestFit="1" customWidth="1"/>
    <col min="10260" max="10260" width="6.5703125" style="238" customWidth="1"/>
    <col min="10261" max="10261" width="19.140625" style="238" customWidth="1"/>
    <col min="10262" max="10496" width="10" style="238"/>
    <col min="10497" max="10497" width="5.42578125" style="238" customWidth="1"/>
    <col min="10498" max="10498" width="21.85546875" style="238" customWidth="1"/>
    <col min="10499" max="10499" width="12.28515625" style="238" customWidth="1"/>
    <col min="10500" max="10500" width="10.140625" style="238" customWidth="1"/>
    <col min="10501" max="10501" width="11.28515625" style="238" customWidth="1"/>
    <col min="10502" max="10502" width="10.140625" style="238" customWidth="1"/>
    <col min="10503" max="10503" width="11.85546875" style="238" customWidth="1"/>
    <col min="10504" max="10504" width="10.42578125" style="238" customWidth="1"/>
    <col min="10505" max="10505" width="12.140625" style="238" customWidth="1"/>
    <col min="10506" max="10506" width="11.140625" style="238" customWidth="1"/>
    <col min="10507" max="10508" width="11" style="238" customWidth="1"/>
    <col min="10509" max="10510" width="10.42578125" style="238" customWidth="1"/>
    <col min="10511" max="10511" width="9.140625" style="238" customWidth="1"/>
    <col min="10512" max="10512" width="8.42578125" style="238" customWidth="1"/>
    <col min="10513" max="10513" width="7.140625" style="238" customWidth="1"/>
    <col min="10514" max="10514" width="9.7109375" style="238" customWidth="1"/>
    <col min="10515" max="10515" width="8.42578125" style="238" bestFit="1" customWidth="1"/>
    <col min="10516" max="10516" width="6.5703125" style="238" customWidth="1"/>
    <col min="10517" max="10517" width="19.140625" style="238" customWidth="1"/>
    <col min="10518" max="10752" width="10" style="238"/>
    <col min="10753" max="10753" width="5.42578125" style="238" customWidth="1"/>
    <col min="10754" max="10754" width="21.85546875" style="238" customWidth="1"/>
    <col min="10755" max="10755" width="12.28515625" style="238" customWidth="1"/>
    <col min="10756" max="10756" width="10.140625" style="238" customWidth="1"/>
    <col min="10757" max="10757" width="11.28515625" style="238" customWidth="1"/>
    <col min="10758" max="10758" width="10.140625" style="238" customWidth="1"/>
    <col min="10759" max="10759" width="11.85546875" style="238" customWidth="1"/>
    <col min="10760" max="10760" width="10.42578125" style="238" customWidth="1"/>
    <col min="10761" max="10761" width="12.140625" style="238" customWidth="1"/>
    <col min="10762" max="10762" width="11.140625" style="238" customWidth="1"/>
    <col min="10763" max="10764" width="11" style="238" customWidth="1"/>
    <col min="10765" max="10766" width="10.42578125" style="238" customWidth="1"/>
    <col min="10767" max="10767" width="9.140625" style="238" customWidth="1"/>
    <col min="10768" max="10768" width="8.42578125" style="238" customWidth="1"/>
    <col min="10769" max="10769" width="7.140625" style="238" customWidth="1"/>
    <col min="10770" max="10770" width="9.7109375" style="238" customWidth="1"/>
    <col min="10771" max="10771" width="8.42578125" style="238" bestFit="1" customWidth="1"/>
    <col min="10772" max="10772" width="6.5703125" style="238" customWidth="1"/>
    <col min="10773" max="10773" width="19.140625" style="238" customWidth="1"/>
    <col min="10774" max="11008" width="10" style="238"/>
    <col min="11009" max="11009" width="5.42578125" style="238" customWidth="1"/>
    <col min="11010" max="11010" width="21.85546875" style="238" customWidth="1"/>
    <col min="11011" max="11011" width="12.28515625" style="238" customWidth="1"/>
    <col min="11012" max="11012" width="10.140625" style="238" customWidth="1"/>
    <col min="11013" max="11013" width="11.28515625" style="238" customWidth="1"/>
    <col min="11014" max="11014" width="10.140625" style="238" customWidth="1"/>
    <col min="11015" max="11015" width="11.85546875" style="238" customWidth="1"/>
    <col min="11016" max="11016" width="10.42578125" style="238" customWidth="1"/>
    <col min="11017" max="11017" width="12.140625" style="238" customWidth="1"/>
    <col min="11018" max="11018" width="11.140625" style="238" customWidth="1"/>
    <col min="11019" max="11020" width="11" style="238" customWidth="1"/>
    <col min="11021" max="11022" width="10.42578125" style="238" customWidth="1"/>
    <col min="11023" max="11023" width="9.140625" style="238" customWidth="1"/>
    <col min="11024" max="11024" width="8.42578125" style="238" customWidth="1"/>
    <col min="11025" max="11025" width="7.140625" style="238" customWidth="1"/>
    <col min="11026" max="11026" width="9.7109375" style="238" customWidth="1"/>
    <col min="11027" max="11027" width="8.42578125" style="238" bestFit="1" customWidth="1"/>
    <col min="11028" max="11028" width="6.5703125" style="238" customWidth="1"/>
    <col min="11029" max="11029" width="19.140625" style="238" customWidth="1"/>
    <col min="11030" max="11264" width="10" style="238"/>
    <col min="11265" max="11265" width="5.42578125" style="238" customWidth="1"/>
    <col min="11266" max="11266" width="21.85546875" style="238" customWidth="1"/>
    <col min="11267" max="11267" width="12.28515625" style="238" customWidth="1"/>
    <col min="11268" max="11268" width="10.140625" style="238" customWidth="1"/>
    <col min="11269" max="11269" width="11.28515625" style="238" customWidth="1"/>
    <col min="11270" max="11270" width="10.140625" style="238" customWidth="1"/>
    <col min="11271" max="11271" width="11.85546875" style="238" customWidth="1"/>
    <col min="11272" max="11272" width="10.42578125" style="238" customWidth="1"/>
    <col min="11273" max="11273" width="12.140625" style="238" customWidth="1"/>
    <col min="11274" max="11274" width="11.140625" style="238" customWidth="1"/>
    <col min="11275" max="11276" width="11" style="238" customWidth="1"/>
    <col min="11277" max="11278" width="10.42578125" style="238" customWidth="1"/>
    <col min="11279" max="11279" width="9.140625" style="238" customWidth="1"/>
    <col min="11280" max="11280" width="8.42578125" style="238" customWidth="1"/>
    <col min="11281" max="11281" width="7.140625" style="238" customWidth="1"/>
    <col min="11282" max="11282" width="9.7109375" style="238" customWidth="1"/>
    <col min="11283" max="11283" width="8.42578125" style="238" bestFit="1" customWidth="1"/>
    <col min="11284" max="11284" width="6.5703125" style="238" customWidth="1"/>
    <col min="11285" max="11285" width="19.140625" style="238" customWidth="1"/>
    <col min="11286" max="11520" width="10" style="238"/>
    <col min="11521" max="11521" width="5.42578125" style="238" customWidth="1"/>
    <col min="11522" max="11522" width="21.85546875" style="238" customWidth="1"/>
    <col min="11523" max="11523" width="12.28515625" style="238" customWidth="1"/>
    <col min="11524" max="11524" width="10.140625" style="238" customWidth="1"/>
    <col min="11525" max="11525" width="11.28515625" style="238" customWidth="1"/>
    <col min="11526" max="11526" width="10.140625" style="238" customWidth="1"/>
    <col min="11527" max="11527" width="11.85546875" style="238" customWidth="1"/>
    <col min="11528" max="11528" width="10.42578125" style="238" customWidth="1"/>
    <col min="11529" max="11529" width="12.140625" style="238" customWidth="1"/>
    <col min="11530" max="11530" width="11.140625" style="238" customWidth="1"/>
    <col min="11531" max="11532" width="11" style="238" customWidth="1"/>
    <col min="11533" max="11534" width="10.42578125" style="238" customWidth="1"/>
    <col min="11535" max="11535" width="9.140625" style="238" customWidth="1"/>
    <col min="11536" max="11536" width="8.42578125" style="238" customWidth="1"/>
    <col min="11537" max="11537" width="7.140625" style="238" customWidth="1"/>
    <col min="11538" max="11538" width="9.7109375" style="238" customWidth="1"/>
    <col min="11539" max="11539" width="8.42578125" style="238" bestFit="1" customWidth="1"/>
    <col min="11540" max="11540" width="6.5703125" style="238" customWidth="1"/>
    <col min="11541" max="11541" width="19.140625" style="238" customWidth="1"/>
    <col min="11542" max="11776" width="10" style="238"/>
    <col min="11777" max="11777" width="5.42578125" style="238" customWidth="1"/>
    <col min="11778" max="11778" width="21.85546875" style="238" customWidth="1"/>
    <col min="11779" max="11779" width="12.28515625" style="238" customWidth="1"/>
    <col min="11780" max="11780" width="10.140625" style="238" customWidth="1"/>
    <col min="11781" max="11781" width="11.28515625" style="238" customWidth="1"/>
    <col min="11782" max="11782" width="10.140625" style="238" customWidth="1"/>
    <col min="11783" max="11783" width="11.85546875" style="238" customWidth="1"/>
    <col min="11784" max="11784" width="10.42578125" style="238" customWidth="1"/>
    <col min="11785" max="11785" width="12.140625" style="238" customWidth="1"/>
    <col min="11786" max="11786" width="11.140625" style="238" customWidth="1"/>
    <col min="11787" max="11788" width="11" style="238" customWidth="1"/>
    <col min="11789" max="11790" width="10.42578125" style="238" customWidth="1"/>
    <col min="11791" max="11791" width="9.140625" style="238" customWidth="1"/>
    <col min="11792" max="11792" width="8.42578125" style="238" customWidth="1"/>
    <col min="11793" max="11793" width="7.140625" style="238" customWidth="1"/>
    <col min="11794" max="11794" width="9.7109375" style="238" customWidth="1"/>
    <col min="11795" max="11795" width="8.42578125" style="238" bestFit="1" customWidth="1"/>
    <col min="11796" max="11796" width="6.5703125" style="238" customWidth="1"/>
    <col min="11797" max="11797" width="19.140625" style="238" customWidth="1"/>
    <col min="11798" max="12032" width="10" style="238"/>
    <col min="12033" max="12033" width="5.42578125" style="238" customWidth="1"/>
    <col min="12034" max="12034" width="21.85546875" style="238" customWidth="1"/>
    <col min="12035" max="12035" width="12.28515625" style="238" customWidth="1"/>
    <col min="12036" max="12036" width="10.140625" style="238" customWidth="1"/>
    <col min="12037" max="12037" width="11.28515625" style="238" customWidth="1"/>
    <col min="12038" max="12038" width="10.140625" style="238" customWidth="1"/>
    <col min="12039" max="12039" width="11.85546875" style="238" customWidth="1"/>
    <col min="12040" max="12040" width="10.42578125" style="238" customWidth="1"/>
    <col min="12041" max="12041" width="12.140625" style="238" customWidth="1"/>
    <col min="12042" max="12042" width="11.140625" style="238" customWidth="1"/>
    <col min="12043" max="12044" width="11" style="238" customWidth="1"/>
    <col min="12045" max="12046" width="10.42578125" style="238" customWidth="1"/>
    <col min="12047" max="12047" width="9.140625" style="238" customWidth="1"/>
    <col min="12048" max="12048" width="8.42578125" style="238" customWidth="1"/>
    <col min="12049" max="12049" width="7.140625" style="238" customWidth="1"/>
    <col min="12050" max="12050" width="9.7109375" style="238" customWidth="1"/>
    <col min="12051" max="12051" width="8.42578125" style="238" bestFit="1" customWidth="1"/>
    <col min="12052" max="12052" width="6.5703125" style="238" customWidth="1"/>
    <col min="12053" max="12053" width="19.140625" style="238" customWidth="1"/>
    <col min="12054" max="12288" width="10" style="238"/>
    <col min="12289" max="12289" width="5.42578125" style="238" customWidth="1"/>
    <col min="12290" max="12290" width="21.85546875" style="238" customWidth="1"/>
    <col min="12291" max="12291" width="12.28515625" style="238" customWidth="1"/>
    <col min="12292" max="12292" width="10.140625" style="238" customWidth="1"/>
    <col min="12293" max="12293" width="11.28515625" style="238" customWidth="1"/>
    <col min="12294" max="12294" width="10.140625" style="238" customWidth="1"/>
    <col min="12295" max="12295" width="11.85546875" style="238" customWidth="1"/>
    <col min="12296" max="12296" width="10.42578125" style="238" customWidth="1"/>
    <col min="12297" max="12297" width="12.140625" style="238" customWidth="1"/>
    <col min="12298" max="12298" width="11.140625" style="238" customWidth="1"/>
    <col min="12299" max="12300" width="11" style="238" customWidth="1"/>
    <col min="12301" max="12302" width="10.42578125" style="238" customWidth="1"/>
    <col min="12303" max="12303" width="9.140625" style="238" customWidth="1"/>
    <col min="12304" max="12304" width="8.42578125" style="238" customWidth="1"/>
    <col min="12305" max="12305" width="7.140625" style="238" customWidth="1"/>
    <col min="12306" max="12306" width="9.7109375" style="238" customWidth="1"/>
    <col min="12307" max="12307" width="8.42578125" style="238" bestFit="1" customWidth="1"/>
    <col min="12308" max="12308" width="6.5703125" style="238" customWidth="1"/>
    <col min="12309" max="12309" width="19.140625" style="238" customWidth="1"/>
    <col min="12310" max="12544" width="10" style="238"/>
    <col min="12545" max="12545" width="5.42578125" style="238" customWidth="1"/>
    <col min="12546" max="12546" width="21.85546875" style="238" customWidth="1"/>
    <col min="12547" max="12547" width="12.28515625" style="238" customWidth="1"/>
    <col min="12548" max="12548" width="10.140625" style="238" customWidth="1"/>
    <col min="12549" max="12549" width="11.28515625" style="238" customWidth="1"/>
    <col min="12550" max="12550" width="10.140625" style="238" customWidth="1"/>
    <col min="12551" max="12551" width="11.85546875" style="238" customWidth="1"/>
    <col min="12552" max="12552" width="10.42578125" style="238" customWidth="1"/>
    <col min="12553" max="12553" width="12.140625" style="238" customWidth="1"/>
    <col min="12554" max="12554" width="11.140625" style="238" customWidth="1"/>
    <col min="12555" max="12556" width="11" style="238" customWidth="1"/>
    <col min="12557" max="12558" width="10.42578125" style="238" customWidth="1"/>
    <col min="12559" max="12559" width="9.140625" style="238" customWidth="1"/>
    <col min="12560" max="12560" width="8.42578125" style="238" customWidth="1"/>
    <col min="12561" max="12561" width="7.140625" style="238" customWidth="1"/>
    <col min="12562" max="12562" width="9.7109375" style="238" customWidth="1"/>
    <col min="12563" max="12563" width="8.42578125" style="238" bestFit="1" customWidth="1"/>
    <col min="12564" max="12564" width="6.5703125" style="238" customWidth="1"/>
    <col min="12565" max="12565" width="19.140625" style="238" customWidth="1"/>
    <col min="12566" max="12800" width="10" style="238"/>
    <col min="12801" max="12801" width="5.42578125" style="238" customWidth="1"/>
    <col min="12802" max="12802" width="21.85546875" style="238" customWidth="1"/>
    <col min="12803" max="12803" width="12.28515625" style="238" customWidth="1"/>
    <col min="12804" max="12804" width="10.140625" style="238" customWidth="1"/>
    <col min="12805" max="12805" width="11.28515625" style="238" customWidth="1"/>
    <col min="12806" max="12806" width="10.140625" style="238" customWidth="1"/>
    <col min="12807" max="12807" width="11.85546875" style="238" customWidth="1"/>
    <col min="12808" max="12808" width="10.42578125" style="238" customWidth="1"/>
    <col min="12809" max="12809" width="12.140625" style="238" customWidth="1"/>
    <col min="12810" max="12810" width="11.140625" style="238" customWidth="1"/>
    <col min="12811" max="12812" width="11" style="238" customWidth="1"/>
    <col min="12813" max="12814" width="10.42578125" style="238" customWidth="1"/>
    <col min="12815" max="12815" width="9.140625" style="238" customWidth="1"/>
    <col min="12816" max="12816" width="8.42578125" style="238" customWidth="1"/>
    <col min="12817" max="12817" width="7.140625" style="238" customWidth="1"/>
    <col min="12818" max="12818" width="9.7109375" style="238" customWidth="1"/>
    <col min="12819" max="12819" width="8.42578125" style="238" bestFit="1" customWidth="1"/>
    <col min="12820" max="12820" width="6.5703125" style="238" customWidth="1"/>
    <col min="12821" max="12821" width="19.140625" style="238" customWidth="1"/>
    <col min="12822" max="13056" width="10" style="238"/>
    <col min="13057" max="13057" width="5.42578125" style="238" customWidth="1"/>
    <col min="13058" max="13058" width="21.85546875" style="238" customWidth="1"/>
    <col min="13059" max="13059" width="12.28515625" style="238" customWidth="1"/>
    <col min="13060" max="13060" width="10.140625" style="238" customWidth="1"/>
    <col min="13061" max="13061" width="11.28515625" style="238" customWidth="1"/>
    <col min="13062" max="13062" width="10.140625" style="238" customWidth="1"/>
    <col min="13063" max="13063" width="11.85546875" style="238" customWidth="1"/>
    <col min="13064" max="13064" width="10.42578125" style="238" customWidth="1"/>
    <col min="13065" max="13065" width="12.140625" style="238" customWidth="1"/>
    <col min="13066" max="13066" width="11.140625" style="238" customWidth="1"/>
    <col min="13067" max="13068" width="11" style="238" customWidth="1"/>
    <col min="13069" max="13070" width="10.42578125" style="238" customWidth="1"/>
    <col min="13071" max="13071" width="9.140625" style="238" customWidth="1"/>
    <col min="13072" max="13072" width="8.42578125" style="238" customWidth="1"/>
    <col min="13073" max="13073" width="7.140625" style="238" customWidth="1"/>
    <col min="13074" max="13074" width="9.7109375" style="238" customWidth="1"/>
    <col min="13075" max="13075" width="8.42578125" style="238" bestFit="1" customWidth="1"/>
    <col min="13076" max="13076" width="6.5703125" style="238" customWidth="1"/>
    <col min="13077" max="13077" width="19.140625" style="238" customWidth="1"/>
    <col min="13078" max="13312" width="10" style="238"/>
    <col min="13313" max="13313" width="5.42578125" style="238" customWidth="1"/>
    <col min="13314" max="13314" width="21.85546875" style="238" customWidth="1"/>
    <col min="13315" max="13315" width="12.28515625" style="238" customWidth="1"/>
    <col min="13316" max="13316" width="10.140625" style="238" customWidth="1"/>
    <col min="13317" max="13317" width="11.28515625" style="238" customWidth="1"/>
    <col min="13318" max="13318" width="10.140625" style="238" customWidth="1"/>
    <col min="13319" max="13319" width="11.85546875" style="238" customWidth="1"/>
    <col min="13320" max="13320" width="10.42578125" style="238" customWidth="1"/>
    <col min="13321" max="13321" width="12.140625" style="238" customWidth="1"/>
    <col min="13322" max="13322" width="11.140625" style="238" customWidth="1"/>
    <col min="13323" max="13324" width="11" style="238" customWidth="1"/>
    <col min="13325" max="13326" width="10.42578125" style="238" customWidth="1"/>
    <col min="13327" max="13327" width="9.140625" style="238" customWidth="1"/>
    <col min="13328" max="13328" width="8.42578125" style="238" customWidth="1"/>
    <col min="13329" max="13329" width="7.140625" style="238" customWidth="1"/>
    <col min="13330" max="13330" width="9.7109375" style="238" customWidth="1"/>
    <col min="13331" max="13331" width="8.42578125" style="238" bestFit="1" customWidth="1"/>
    <col min="13332" max="13332" width="6.5703125" style="238" customWidth="1"/>
    <col min="13333" max="13333" width="19.140625" style="238" customWidth="1"/>
    <col min="13334" max="13568" width="10" style="238"/>
    <col min="13569" max="13569" width="5.42578125" style="238" customWidth="1"/>
    <col min="13570" max="13570" width="21.85546875" style="238" customWidth="1"/>
    <col min="13571" max="13571" width="12.28515625" style="238" customWidth="1"/>
    <col min="13572" max="13572" width="10.140625" style="238" customWidth="1"/>
    <col min="13573" max="13573" width="11.28515625" style="238" customWidth="1"/>
    <col min="13574" max="13574" width="10.140625" style="238" customWidth="1"/>
    <col min="13575" max="13575" width="11.85546875" style="238" customWidth="1"/>
    <col min="13576" max="13576" width="10.42578125" style="238" customWidth="1"/>
    <col min="13577" max="13577" width="12.140625" style="238" customWidth="1"/>
    <col min="13578" max="13578" width="11.140625" style="238" customWidth="1"/>
    <col min="13579" max="13580" width="11" style="238" customWidth="1"/>
    <col min="13581" max="13582" width="10.42578125" style="238" customWidth="1"/>
    <col min="13583" max="13583" width="9.140625" style="238" customWidth="1"/>
    <col min="13584" max="13584" width="8.42578125" style="238" customWidth="1"/>
    <col min="13585" max="13585" width="7.140625" style="238" customWidth="1"/>
    <col min="13586" max="13586" width="9.7109375" style="238" customWidth="1"/>
    <col min="13587" max="13587" width="8.42578125" style="238" bestFit="1" customWidth="1"/>
    <col min="13588" max="13588" width="6.5703125" style="238" customWidth="1"/>
    <col min="13589" max="13589" width="19.140625" style="238" customWidth="1"/>
    <col min="13590" max="13824" width="10" style="238"/>
    <col min="13825" max="13825" width="5.42578125" style="238" customWidth="1"/>
    <col min="13826" max="13826" width="21.85546875" style="238" customWidth="1"/>
    <col min="13827" max="13827" width="12.28515625" style="238" customWidth="1"/>
    <col min="13828" max="13828" width="10.140625" style="238" customWidth="1"/>
    <col min="13829" max="13829" width="11.28515625" style="238" customWidth="1"/>
    <col min="13830" max="13830" width="10.140625" style="238" customWidth="1"/>
    <col min="13831" max="13831" width="11.85546875" style="238" customWidth="1"/>
    <col min="13832" max="13832" width="10.42578125" style="238" customWidth="1"/>
    <col min="13833" max="13833" width="12.140625" style="238" customWidth="1"/>
    <col min="13834" max="13834" width="11.140625" style="238" customWidth="1"/>
    <col min="13835" max="13836" width="11" style="238" customWidth="1"/>
    <col min="13837" max="13838" width="10.42578125" style="238" customWidth="1"/>
    <col min="13839" max="13839" width="9.140625" style="238" customWidth="1"/>
    <col min="13840" max="13840" width="8.42578125" style="238" customWidth="1"/>
    <col min="13841" max="13841" width="7.140625" style="238" customWidth="1"/>
    <col min="13842" max="13842" width="9.7109375" style="238" customWidth="1"/>
    <col min="13843" max="13843" width="8.42578125" style="238" bestFit="1" customWidth="1"/>
    <col min="13844" max="13844" width="6.5703125" style="238" customWidth="1"/>
    <col min="13845" max="13845" width="19.140625" style="238" customWidth="1"/>
    <col min="13846" max="14080" width="10" style="238"/>
    <col min="14081" max="14081" width="5.42578125" style="238" customWidth="1"/>
    <col min="14082" max="14082" width="21.85546875" style="238" customWidth="1"/>
    <col min="14083" max="14083" width="12.28515625" style="238" customWidth="1"/>
    <col min="14084" max="14084" width="10.140625" style="238" customWidth="1"/>
    <col min="14085" max="14085" width="11.28515625" style="238" customWidth="1"/>
    <col min="14086" max="14086" width="10.140625" style="238" customWidth="1"/>
    <col min="14087" max="14087" width="11.85546875" style="238" customWidth="1"/>
    <col min="14088" max="14088" width="10.42578125" style="238" customWidth="1"/>
    <col min="14089" max="14089" width="12.140625" style="238" customWidth="1"/>
    <col min="14090" max="14090" width="11.140625" style="238" customWidth="1"/>
    <col min="14091" max="14092" width="11" style="238" customWidth="1"/>
    <col min="14093" max="14094" width="10.42578125" style="238" customWidth="1"/>
    <col min="14095" max="14095" width="9.140625" style="238" customWidth="1"/>
    <col min="14096" max="14096" width="8.42578125" style="238" customWidth="1"/>
    <col min="14097" max="14097" width="7.140625" style="238" customWidth="1"/>
    <col min="14098" max="14098" width="9.7109375" style="238" customWidth="1"/>
    <col min="14099" max="14099" width="8.42578125" style="238" bestFit="1" customWidth="1"/>
    <col min="14100" max="14100" width="6.5703125" style="238" customWidth="1"/>
    <col min="14101" max="14101" width="19.140625" style="238" customWidth="1"/>
    <col min="14102" max="14336" width="10" style="238"/>
    <col min="14337" max="14337" width="5.42578125" style="238" customWidth="1"/>
    <col min="14338" max="14338" width="21.85546875" style="238" customWidth="1"/>
    <col min="14339" max="14339" width="12.28515625" style="238" customWidth="1"/>
    <col min="14340" max="14340" width="10.140625" style="238" customWidth="1"/>
    <col min="14341" max="14341" width="11.28515625" style="238" customWidth="1"/>
    <col min="14342" max="14342" width="10.140625" style="238" customWidth="1"/>
    <col min="14343" max="14343" width="11.85546875" style="238" customWidth="1"/>
    <col min="14344" max="14344" width="10.42578125" style="238" customWidth="1"/>
    <col min="14345" max="14345" width="12.140625" style="238" customWidth="1"/>
    <col min="14346" max="14346" width="11.140625" style="238" customWidth="1"/>
    <col min="14347" max="14348" width="11" style="238" customWidth="1"/>
    <col min="14349" max="14350" width="10.42578125" style="238" customWidth="1"/>
    <col min="14351" max="14351" width="9.140625" style="238" customWidth="1"/>
    <col min="14352" max="14352" width="8.42578125" style="238" customWidth="1"/>
    <col min="14353" max="14353" width="7.140625" style="238" customWidth="1"/>
    <col min="14354" max="14354" width="9.7109375" style="238" customWidth="1"/>
    <col min="14355" max="14355" width="8.42578125" style="238" bestFit="1" customWidth="1"/>
    <col min="14356" max="14356" width="6.5703125" style="238" customWidth="1"/>
    <col min="14357" max="14357" width="19.140625" style="238" customWidth="1"/>
    <col min="14358" max="14592" width="10" style="238"/>
    <col min="14593" max="14593" width="5.42578125" style="238" customWidth="1"/>
    <col min="14594" max="14594" width="21.85546875" style="238" customWidth="1"/>
    <col min="14595" max="14595" width="12.28515625" style="238" customWidth="1"/>
    <col min="14596" max="14596" width="10.140625" style="238" customWidth="1"/>
    <col min="14597" max="14597" width="11.28515625" style="238" customWidth="1"/>
    <col min="14598" max="14598" width="10.140625" style="238" customWidth="1"/>
    <col min="14599" max="14599" width="11.85546875" style="238" customWidth="1"/>
    <col min="14600" max="14600" width="10.42578125" style="238" customWidth="1"/>
    <col min="14601" max="14601" width="12.140625" style="238" customWidth="1"/>
    <col min="14602" max="14602" width="11.140625" style="238" customWidth="1"/>
    <col min="14603" max="14604" width="11" style="238" customWidth="1"/>
    <col min="14605" max="14606" width="10.42578125" style="238" customWidth="1"/>
    <col min="14607" max="14607" width="9.140625" style="238" customWidth="1"/>
    <col min="14608" max="14608" width="8.42578125" style="238" customWidth="1"/>
    <col min="14609" max="14609" width="7.140625" style="238" customWidth="1"/>
    <col min="14610" max="14610" width="9.7109375" style="238" customWidth="1"/>
    <col min="14611" max="14611" width="8.42578125" style="238" bestFit="1" customWidth="1"/>
    <col min="14612" max="14612" width="6.5703125" style="238" customWidth="1"/>
    <col min="14613" max="14613" width="19.140625" style="238" customWidth="1"/>
    <col min="14614" max="14848" width="10" style="238"/>
    <col min="14849" max="14849" width="5.42578125" style="238" customWidth="1"/>
    <col min="14850" max="14850" width="21.85546875" style="238" customWidth="1"/>
    <col min="14851" max="14851" width="12.28515625" style="238" customWidth="1"/>
    <col min="14852" max="14852" width="10.140625" style="238" customWidth="1"/>
    <col min="14853" max="14853" width="11.28515625" style="238" customWidth="1"/>
    <col min="14854" max="14854" width="10.140625" style="238" customWidth="1"/>
    <col min="14855" max="14855" width="11.85546875" style="238" customWidth="1"/>
    <col min="14856" max="14856" width="10.42578125" style="238" customWidth="1"/>
    <col min="14857" max="14857" width="12.140625" style="238" customWidth="1"/>
    <col min="14858" max="14858" width="11.140625" style="238" customWidth="1"/>
    <col min="14859" max="14860" width="11" style="238" customWidth="1"/>
    <col min="14861" max="14862" width="10.42578125" style="238" customWidth="1"/>
    <col min="14863" max="14863" width="9.140625" style="238" customWidth="1"/>
    <col min="14864" max="14864" width="8.42578125" style="238" customWidth="1"/>
    <col min="14865" max="14865" width="7.140625" style="238" customWidth="1"/>
    <col min="14866" max="14866" width="9.7109375" style="238" customWidth="1"/>
    <col min="14867" max="14867" width="8.42578125" style="238" bestFit="1" customWidth="1"/>
    <col min="14868" max="14868" width="6.5703125" style="238" customWidth="1"/>
    <col min="14869" max="14869" width="19.140625" style="238" customWidth="1"/>
    <col min="14870" max="15104" width="10" style="238"/>
    <col min="15105" max="15105" width="5.42578125" style="238" customWidth="1"/>
    <col min="15106" max="15106" width="21.85546875" style="238" customWidth="1"/>
    <col min="15107" max="15107" width="12.28515625" style="238" customWidth="1"/>
    <col min="15108" max="15108" width="10.140625" style="238" customWidth="1"/>
    <col min="15109" max="15109" width="11.28515625" style="238" customWidth="1"/>
    <col min="15110" max="15110" width="10.140625" style="238" customWidth="1"/>
    <col min="15111" max="15111" width="11.85546875" style="238" customWidth="1"/>
    <col min="15112" max="15112" width="10.42578125" style="238" customWidth="1"/>
    <col min="15113" max="15113" width="12.140625" style="238" customWidth="1"/>
    <col min="15114" max="15114" width="11.140625" style="238" customWidth="1"/>
    <col min="15115" max="15116" width="11" style="238" customWidth="1"/>
    <col min="15117" max="15118" width="10.42578125" style="238" customWidth="1"/>
    <col min="15119" max="15119" width="9.140625" style="238" customWidth="1"/>
    <col min="15120" max="15120" width="8.42578125" style="238" customWidth="1"/>
    <col min="15121" max="15121" width="7.140625" style="238" customWidth="1"/>
    <col min="15122" max="15122" width="9.7109375" style="238" customWidth="1"/>
    <col min="15123" max="15123" width="8.42578125" style="238" bestFit="1" customWidth="1"/>
    <col min="15124" max="15124" width="6.5703125" style="238" customWidth="1"/>
    <col min="15125" max="15125" width="19.140625" style="238" customWidth="1"/>
    <col min="15126" max="15360" width="10" style="238"/>
    <col min="15361" max="15361" width="5.42578125" style="238" customWidth="1"/>
    <col min="15362" max="15362" width="21.85546875" style="238" customWidth="1"/>
    <col min="15363" max="15363" width="12.28515625" style="238" customWidth="1"/>
    <col min="15364" max="15364" width="10.140625" style="238" customWidth="1"/>
    <col min="15365" max="15365" width="11.28515625" style="238" customWidth="1"/>
    <col min="15366" max="15366" width="10.140625" style="238" customWidth="1"/>
    <col min="15367" max="15367" width="11.85546875" style="238" customWidth="1"/>
    <col min="15368" max="15368" width="10.42578125" style="238" customWidth="1"/>
    <col min="15369" max="15369" width="12.140625" style="238" customWidth="1"/>
    <col min="15370" max="15370" width="11.140625" style="238" customWidth="1"/>
    <col min="15371" max="15372" width="11" style="238" customWidth="1"/>
    <col min="15373" max="15374" width="10.42578125" style="238" customWidth="1"/>
    <col min="15375" max="15375" width="9.140625" style="238" customWidth="1"/>
    <col min="15376" max="15376" width="8.42578125" style="238" customWidth="1"/>
    <col min="15377" max="15377" width="7.140625" style="238" customWidth="1"/>
    <col min="15378" max="15378" width="9.7109375" style="238" customWidth="1"/>
    <col min="15379" max="15379" width="8.42578125" style="238" bestFit="1" customWidth="1"/>
    <col min="15380" max="15380" width="6.5703125" style="238" customWidth="1"/>
    <col min="15381" max="15381" width="19.140625" style="238" customWidth="1"/>
    <col min="15382" max="15616" width="10" style="238"/>
    <col min="15617" max="15617" width="5.42578125" style="238" customWidth="1"/>
    <col min="15618" max="15618" width="21.85546875" style="238" customWidth="1"/>
    <col min="15619" max="15619" width="12.28515625" style="238" customWidth="1"/>
    <col min="15620" max="15620" width="10.140625" style="238" customWidth="1"/>
    <col min="15621" max="15621" width="11.28515625" style="238" customWidth="1"/>
    <col min="15622" max="15622" width="10.140625" style="238" customWidth="1"/>
    <col min="15623" max="15623" width="11.85546875" style="238" customWidth="1"/>
    <col min="15624" max="15624" width="10.42578125" style="238" customWidth="1"/>
    <col min="15625" max="15625" width="12.140625" style="238" customWidth="1"/>
    <col min="15626" max="15626" width="11.140625" style="238" customWidth="1"/>
    <col min="15627" max="15628" width="11" style="238" customWidth="1"/>
    <col min="15629" max="15630" width="10.42578125" style="238" customWidth="1"/>
    <col min="15631" max="15631" width="9.140625" style="238" customWidth="1"/>
    <col min="15632" max="15632" width="8.42578125" style="238" customWidth="1"/>
    <col min="15633" max="15633" width="7.140625" style="238" customWidth="1"/>
    <col min="15634" max="15634" width="9.7109375" style="238" customWidth="1"/>
    <col min="15635" max="15635" width="8.42578125" style="238" bestFit="1" customWidth="1"/>
    <col min="15636" max="15636" width="6.5703125" style="238" customWidth="1"/>
    <col min="15637" max="15637" width="19.140625" style="238" customWidth="1"/>
    <col min="15638" max="15872" width="10" style="238"/>
    <col min="15873" max="15873" width="5.42578125" style="238" customWidth="1"/>
    <col min="15874" max="15874" width="21.85546875" style="238" customWidth="1"/>
    <col min="15875" max="15875" width="12.28515625" style="238" customWidth="1"/>
    <col min="15876" max="15876" width="10.140625" style="238" customWidth="1"/>
    <col min="15877" max="15877" width="11.28515625" style="238" customWidth="1"/>
    <col min="15878" max="15878" width="10.140625" style="238" customWidth="1"/>
    <col min="15879" max="15879" width="11.85546875" style="238" customWidth="1"/>
    <col min="15880" max="15880" width="10.42578125" style="238" customWidth="1"/>
    <col min="15881" max="15881" width="12.140625" style="238" customWidth="1"/>
    <col min="15882" max="15882" width="11.140625" style="238" customWidth="1"/>
    <col min="15883" max="15884" width="11" style="238" customWidth="1"/>
    <col min="15885" max="15886" width="10.42578125" style="238" customWidth="1"/>
    <col min="15887" max="15887" width="9.140625" style="238" customWidth="1"/>
    <col min="15888" max="15888" width="8.42578125" style="238" customWidth="1"/>
    <col min="15889" max="15889" width="7.140625" style="238" customWidth="1"/>
    <col min="15890" max="15890" width="9.7109375" style="238" customWidth="1"/>
    <col min="15891" max="15891" width="8.42578125" style="238" bestFit="1" customWidth="1"/>
    <col min="15892" max="15892" width="6.5703125" style="238" customWidth="1"/>
    <col min="15893" max="15893" width="19.140625" style="238" customWidth="1"/>
    <col min="15894" max="16128" width="10" style="238"/>
    <col min="16129" max="16129" width="5.42578125" style="238" customWidth="1"/>
    <col min="16130" max="16130" width="21.85546875" style="238" customWidth="1"/>
    <col min="16131" max="16131" width="12.28515625" style="238" customWidth="1"/>
    <col min="16132" max="16132" width="10.140625" style="238" customWidth="1"/>
    <col min="16133" max="16133" width="11.28515625" style="238" customWidth="1"/>
    <col min="16134" max="16134" width="10.140625" style="238" customWidth="1"/>
    <col min="16135" max="16135" width="11.85546875" style="238" customWidth="1"/>
    <col min="16136" max="16136" width="10.42578125" style="238" customWidth="1"/>
    <col min="16137" max="16137" width="12.140625" style="238" customWidth="1"/>
    <col min="16138" max="16138" width="11.140625" style="238" customWidth="1"/>
    <col min="16139" max="16140" width="11" style="238" customWidth="1"/>
    <col min="16141" max="16142" width="10.42578125" style="238" customWidth="1"/>
    <col min="16143" max="16143" width="9.140625" style="238" customWidth="1"/>
    <col min="16144" max="16144" width="8.42578125" style="238" customWidth="1"/>
    <col min="16145" max="16145" width="7.140625" style="238" customWidth="1"/>
    <col min="16146" max="16146" width="9.7109375" style="238" customWidth="1"/>
    <col min="16147" max="16147" width="8.42578125" style="238" bestFit="1" customWidth="1"/>
    <col min="16148" max="16148" width="6.5703125" style="238" customWidth="1"/>
    <col min="16149" max="16149" width="19.140625" style="238" customWidth="1"/>
    <col min="16150" max="16384" width="10" style="238"/>
  </cols>
  <sheetData>
    <row r="1" spans="1:21">
      <c r="A1" s="381" t="s">
        <v>517</v>
      </c>
      <c r="B1" s="381"/>
      <c r="C1" s="381"/>
      <c r="D1" s="237"/>
      <c r="E1" s="237"/>
      <c r="F1" s="237"/>
      <c r="G1" s="237"/>
      <c r="H1" s="237"/>
      <c r="I1" s="237"/>
      <c r="J1" s="237"/>
      <c r="K1" s="237"/>
      <c r="L1" s="237"/>
      <c r="M1" s="237"/>
      <c r="N1" s="237"/>
      <c r="O1" s="393" t="s">
        <v>391</v>
      </c>
      <c r="P1" s="393"/>
      <c r="Q1" s="393"/>
      <c r="R1" s="393"/>
      <c r="S1" s="393"/>
      <c r="T1" s="393"/>
    </row>
    <row r="2" spans="1:21">
      <c r="A2" s="239"/>
      <c r="B2" s="240"/>
      <c r="C2" s="240"/>
      <c r="D2" s="240"/>
      <c r="E2" s="240"/>
      <c r="F2" s="240"/>
      <c r="G2" s="240"/>
      <c r="H2" s="240"/>
      <c r="I2" s="240"/>
      <c r="J2" s="240"/>
      <c r="K2" s="240"/>
      <c r="L2" s="240"/>
      <c r="M2" s="240"/>
      <c r="N2" s="240"/>
      <c r="O2" s="394"/>
      <c r="P2" s="394"/>
      <c r="Q2" s="394"/>
      <c r="R2" s="394"/>
      <c r="S2" s="394"/>
      <c r="T2" s="394"/>
    </row>
    <row r="3" spans="1:21">
      <c r="A3" s="237"/>
      <c r="B3" s="237"/>
      <c r="C3" s="237"/>
      <c r="D3" s="237"/>
      <c r="E3" s="237"/>
      <c r="F3" s="237"/>
      <c r="G3" s="237"/>
      <c r="H3" s="237"/>
      <c r="I3" s="237"/>
      <c r="J3" s="237"/>
      <c r="K3" s="237"/>
      <c r="L3" s="237"/>
      <c r="M3" s="237"/>
      <c r="N3" s="237"/>
      <c r="O3" s="237"/>
      <c r="P3" s="237"/>
      <c r="Q3" s="237"/>
      <c r="R3" s="237"/>
      <c r="S3" s="237"/>
      <c r="T3" s="237"/>
    </row>
    <row r="4" spans="1:21">
      <c r="A4" s="393" t="s">
        <v>403</v>
      </c>
      <c r="B4" s="393"/>
      <c r="C4" s="393"/>
      <c r="D4" s="393"/>
      <c r="E4" s="393"/>
      <c r="F4" s="393"/>
      <c r="G4" s="393"/>
      <c r="H4" s="393"/>
      <c r="I4" s="393"/>
      <c r="J4" s="393"/>
      <c r="K4" s="393"/>
      <c r="L4" s="393"/>
      <c r="M4" s="393"/>
      <c r="N4" s="393"/>
      <c r="O4" s="393"/>
      <c r="P4" s="393"/>
      <c r="Q4" s="393"/>
      <c r="R4" s="393"/>
      <c r="S4" s="393"/>
      <c r="T4" s="393"/>
    </row>
    <row r="5" spans="1:21" ht="23.25" customHeight="1">
      <c r="A5" s="395" t="str">
        <f>'58'!A3:W3</f>
        <v>(Kèm theo Nghị quyết số            /NQ-HĐND ngày     tháng     năm 2023 của Hội đồng nhân dân huyện)</v>
      </c>
      <c r="B5" s="395"/>
      <c r="C5" s="395"/>
      <c r="D5" s="395"/>
      <c r="E5" s="395"/>
      <c r="F5" s="395"/>
      <c r="G5" s="395"/>
      <c r="H5" s="395"/>
      <c r="I5" s="395"/>
      <c r="J5" s="395"/>
      <c r="K5" s="395"/>
      <c r="L5" s="395"/>
      <c r="M5" s="395"/>
      <c r="N5" s="395"/>
      <c r="O5" s="395"/>
      <c r="P5" s="395"/>
      <c r="Q5" s="395"/>
      <c r="R5" s="395"/>
      <c r="S5" s="395"/>
      <c r="T5" s="395"/>
    </row>
    <row r="6" spans="1:21" ht="15.75">
      <c r="A6" s="237"/>
      <c r="B6" s="237"/>
      <c r="C6" s="237"/>
      <c r="D6" s="237"/>
      <c r="E6" s="237"/>
      <c r="F6" s="237"/>
      <c r="G6" s="237"/>
      <c r="H6" s="237"/>
      <c r="I6" s="237"/>
      <c r="J6" s="237"/>
      <c r="K6" s="237"/>
      <c r="L6" s="237"/>
      <c r="M6" s="237"/>
      <c r="N6" s="237"/>
      <c r="O6" s="237"/>
      <c r="P6" s="237"/>
      <c r="Q6" s="237"/>
      <c r="R6" s="404" t="s">
        <v>15</v>
      </c>
      <c r="S6" s="404"/>
      <c r="T6" s="404"/>
    </row>
    <row r="7" spans="1:21" ht="16.5" customHeight="1">
      <c r="A7" s="396" t="s">
        <v>0</v>
      </c>
      <c r="B7" s="396" t="s">
        <v>270</v>
      </c>
      <c r="C7" s="398" t="s">
        <v>410</v>
      </c>
      <c r="D7" s="399"/>
      <c r="E7" s="399"/>
      <c r="F7" s="399"/>
      <c r="G7" s="399"/>
      <c r="H7" s="399"/>
      <c r="I7" s="396" t="s">
        <v>411</v>
      </c>
      <c r="J7" s="396"/>
      <c r="K7" s="396"/>
      <c r="L7" s="396"/>
      <c r="M7" s="396"/>
      <c r="N7" s="396"/>
      <c r="O7" s="399" t="s">
        <v>271</v>
      </c>
      <c r="P7" s="399"/>
      <c r="Q7" s="399"/>
      <c r="R7" s="399"/>
      <c r="S7" s="399"/>
      <c r="T7" s="400"/>
    </row>
    <row r="8" spans="1:21">
      <c r="A8" s="397"/>
      <c r="B8" s="397"/>
      <c r="C8" s="401" t="s">
        <v>226</v>
      </c>
      <c r="D8" s="402" t="s">
        <v>272</v>
      </c>
      <c r="E8" s="401" t="s">
        <v>273</v>
      </c>
      <c r="F8" s="401"/>
      <c r="G8" s="401"/>
      <c r="H8" s="401"/>
      <c r="I8" s="401" t="s">
        <v>226</v>
      </c>
      <c r="J8" s="402" t="s">
        <v>272</v>
      </c>
      <c r="K8" s="401" t="s">
        <v>273</v>
      </c>
      <c r="L8" s="401"/>
      <c r="M8" s="401"/>
      <c r="N8" s="401"/>
      <c r="O8" s="401" t="s">
        <v>226</v>
      </c>
      <c r="P8" s="402" t="s">
        <v>272</v>
      </c>
      <c r="Q8" s="401" t="s">
        <v>273</v>
      </c>
      <c r="R8" s="401"/>
      <c r="S8" s="401"/>
      <c r="T8" s="401"/>
    </row>
    <row r="9" spans="1:21" ht="171" customHeight="1">
      <c r="A9" s="397"/>
      <c r="B9" s="397"/>
      <c r="C9" s="401"/>
      <c r="D9" s="403"/>
      <c r="E9" s="232" t="s">
        <v>226</v>
      </c>
      <c r="F9" s="232" t="s">
        <v>274</v>
      </c>
      <c r="G9" s="232" t="s">
        <v>275</v>
      </c>
      <c r="H9" s="232" t="s">
        <v>276</v>
      </c>
      <c r="I9" s="401"/>
      <c r="J9" s="403"/>
      <c r="K9" s="232" t="s">
        <v>226</v>
      </c>
      <c r="L9" s="232" t="s">
        <v>274</v>
      </c>
      <c r="M9" s="232" t="s">
        <v>275</v>
      </c>
      <c r="N9" s="232" t="s">
        <v>276</v>
      </c>
      <c r="O9" s="401"/>
      <c r="P9" s="403"/>
      <c r="Q9" s="232" t="s">
        <v>226</v>
      </c>
      <c r="R9" s="232" t="s">
        <v>274</v>
      </c>
      <c r="S9" s="232" t="s">
        <v>275</v>
      </c>
      <c r="T9" s="232" t="s">
        <v>276</v>
      </c>
    </row>
    <row r="10" spans="1:21">
      <c r="A10" s="110" t="s">
        <v>22</v>
      </c>
      <c r="B10" s="110" t="s">
        <v>23</v>
      </c>
      <c r="C10" s="110" t="s">
        <v>219</v>
      </c>
      <c r="D10" s="110">
        <v>2</v>
      </c>
      <c r="E10" s="110" t="s">
        <v>277</v>
      </c>
      <c r="F10" s="110">
        <v>4</v>
      </c>
      <c r="G10" s="110">
        <v>5</v>
      </c>
      <c r="H10" s="110">
        <v>6</v>
      </c>
      <c r="I10" s="110">
        <v>7</v>
      </c>
      <c r="J10" s="110">
        <v>8</v>
      </c>
      <c r="K10" s="110">
        <v>9</v>
      </c>
      <c r="L10" s="110">
        <v>10</v>
      </c>
      <c r="M10" s="110">
        <v>11</v>
      </c>
      <c r="N10" s="110">
        <v>12</v>
      </c>
      <c r="O10" s="110">
        <v>13</v>
      </c>
      <c r="P10" s="110">
        <v>14</v>
      </c>
      <c r="Q10" s="110">
        <v>15</v>
      </c>
      <c r="R10" s="110">
        <v>16</v>
      </c>
      <c r="S10" s="110">
        <v>17</v>
      </c>
      <c r="T10" s="110">
        <v>18</v>
      </c>
    </row>
    <row r="11" spans="1:21">
      <c r="A11" s="111" t="s">
        <v>3</v>
      </c>
      <c r="B11" s="112" t="s">
        <v>226</v>
      </c>
      <c r="C11" s="113">
        <f>SUM(C12:C22)</f>
        <v>53546.840000000004</v>
      </c>
      <c r="D11" s="113">
        <f>SUM(D12:D22)</f>
        <v>52536.840000000004</v>
      </c>
      <c r="E11" s="113">
        <f t="shared" ref="E11:N11" si="0">SUM(E12:E22)</f>
        <v>1010</v>
      </c>
      <c r="F11" s="113">
        <f t="shared" si="0"/>
        <v>0</v>
      </c>
      <c r="G11" s="113">
        <f t="shared" si="0"/>
        <v>1010</v>
      </c>
      <c r="H11" s="113">
        <f t="shared" si="0"/>
        <v>0</v>
      </c>
      <c r="I11" s="113">
        <f t="shared" si="0"/>
        <v>71955.409619999991</v>
      </c>
      <c r="J11" s="113">
        <f t="shared" si="0"/>
        <v>52330.233667</v>
      </c>
      <c r="K11" s="113">
        <f t="shared" si="0"/>
        <v>19625.175953000002</v>
      </c>
      <c r="L11" s="113">
        <f t="shared" si="0"/>
        <v>0</v>
      </c>
      <c r="M11" s="113">
        <f t="shared" si="0"/>
        <v>3758.1759529999999</v>
      </c>
      <c r="N11" s="113">
        <f t="shared" si="0"/>
        <v>15866.999999999998</v>
      </c>
      <c r="O11" s="347">
        <f>+I11/C11*100</f>
        <v>134.37844253741207</v>
      </c>
      <c r="P11" s="348">
        <f>+J11/D11*100</f>
        <v>99.606740083720297</v>
      </c>
      <c r="Q11" s="348">
        <f>+K11/E11*100</f>
        <v>1943.0867280198022</v>
      </c>
      <c r="R11" s="348"/>
      <c r="S11" s="348">
        <f>+M11/G11*100</f>
        <v>372.09662900990099</v>
      </c>
      <c r="T11" s="112"/>
    </row>
    <row r="12" spans="1:21">
      <c r="A12" s="110">
        <v>1</v>
      </c>
      <c r="B12" s="108" t="s">
        <v>324</v>
      </c>
      <c r="C12" s="108">
        <f>+D12+E12</f>
        <v>4781.9769999999999</v>
      </c>
      <c r="D12" s="108">
        <v>4781.9769999999999</v>
      </c>
      <c r="E12" s="108">
        <f>F12+G12+H12</f>
        <v>0</v>
      </c>
      <c r="F12" s="108"/>
      <c r="G12" s="108"/>
      <c r="H12" s="108"/>
      <c r="I12" s="108">
        <f>+J12+K12</f>
        <v>6464.6106650000002</v>
      </c>
      <c r="J12" s="108">
        <v>4772.8989600000004</v>
      </c>
      <c r="K12" s="108">
        <f>L12+M12+N12</f>
        <v>1691.7117049999999</v>
      </c>
      <c r="L12" s="108"/>
      <c r="M12" s="108">
        <f>1691.711705-N12</f>
        <v>178.42570499999988</v>
      </c>
      <c r="N12" s="108">
        <v>1513.2860000000001</v>
      </c>
      <c r="O12" s="349">
        <f>+I12/C12*100</f>
        <v>135.18698782951068</v>
      </c>
      <c r="P12" s="350">
        <f t="shared" ref="P12:Q22" si="1">+J12/D12*100</f>
        <v>99.810161362131197</v>
      </c>
      <c r="Q12" s="350"/>
      <c r="R12" s="350"/>
      <c r="S12" s="349"/>
      <c r="T12" s="114"/>
      <c r="U12" s="241"/>
    </row>
    <row r="13" spans="1:21">
      <c r="A13" s="110">
        <v>2</v>
      </c>
      <c r="B13" s="108" t="s">
        <v>325</v>
      </c>
      <c r="C13" s="108">
        <f t="shared" ref="C13:C22" si="2">+D13+E13</f>
        <v>6163.0020000000004</v>
      </c>
      <c r="D13" s="108">
        <v>5612.0020000000004</v>
      </c>
      <c r="E13" s="108">
        <f t="shared" ref="E13:E22" si="3">F13+G13+H13</f>
        <v>551</v>
      </c>
      <c r="F13" s="108"/>
      <c r="G13" s="108">
        <v>551</v>
      </c>
      <c r="H13" s="108"/>
      <c r="I13" s="108">
        <f>+J13+K13</f>
        <v>7284.0630270000001</v>
      </c>
      <c r="J13" s="108">
        <v>5606.1570270000002</v>
      </c>
      <c r="K13" s="108">
        <f t="shared" ref="K13:K22" si="4">L13+M13+N13</f>
        <v>1677.9059999999999</v>
      </c>
      <c r="L13" s="108"/>
      <c r="M13" s="108">
        <f>1677.906-N13</f>
        <v>743.24599999999998</v>
      </c>
      <c r="N13" s="108">
        <v>934.66</v>
      </c>
      <c r="O13" s="349">
        <f t="shared" ref="O13:O19" si="5">+I13/C13*100</f>
        <v>118.19017788733477</v>
      </c>
      <c r="P13" s="350">
        <f t="shared" si="1"/>
        <v>99.895848700695396</v>
      </c>
      <c r="Q13" s="350">
        <f t="shared" si="1"/>
        <v>304.52014519056257</v>
      </c>
      <c r="R13" s="350"/>
      <c r="S13" s="349">
        <f>M13/G13*100</f>
        <v>134.89038112522687</v>
      </c>
      <c r="T13" s="114"/>
      <c r="U13" s="241"/>
    </row>
    <row r="14" spans="1:21">
      <c r="A14" s="110">
        <v>3</v>
      </c>
      <c r="B14" s="108" t="s">
        <v>326</v>
      </c>
      <c r="C14" s="108">
        <f t="shared" si="2"/>
        <v>4448.5559999999996</v>
      </c>
      <c r="D14" s="108">
        <v>4397.5559999999996</v>
      </c>
      <c r="E14" s="108">
        <f t="shared" si="3"/>
        <v>51</v>
      </c>
      <c r="F14" s="108"/>
      <c r="G14" s="108">
        <v>51</v>
      </c>
      <c r="H14" s="108"/>
      <c r="I14" s="108">
        <f t="shared" ref="I14:I22" si="6">+J14+K14</f>
        <v>5779.6149999999998</v>
      </c>
      <c r="J14" s="108">
        <v>4325.6059999999998</v>
      </c>
      <c r="K14" s="108">
        <f t="shared" si="4"/>
        <v>1454.009</v>
      </c>
      <c r="L14" s="108"/>
      <c r="M14" s="108">
        <f>1454.009-N14</f>
        <v>269.34500000000003</v>
      </c>
      <c r="N14" s="108">
        <v>1184.664</v>
      </c>
      <c r="O14" s="349">
        <f t="shared" si="5"/>
        <v>129.92114744649726</v>
      </c>
      <c r="P14" s="350">
        <f>+J14/D14*100</f>
        <v>98.363863928054585</v>
      </c>
      <c r="Q14" s="350">
        <f t="shared" si="1"/>
        <v>2850.9980392156863</v>
      </c>
      <c r="R14" s="350"/>
      <c r="S14" s="349">
        <f t="shared" ref="S14:S20" si="7">M14/G14*100</f>
        <v>528.12745098039227</v>
      </c>
      <c r="T14" s="114"/>
      <c r="U14" s="241"/>
    </row>
    <row r="15" spans="1:21">
      <c r="A15" s="110">
        <v>4</v>
      </c>
      <c r="B15" s="108" t="s">
        <v>327</v>
      </c>
      <c r="C15" s="108">
        <f t="shared" si="2"/>
        <v>4763.9690000000001</v>
      </c>
      <c r="D15" s="108">
        <v>4763.9690000000001</v>
      </c>
      <c r="E15" s="108">
        <f t="shared" si="3"/>
        <v>0</v>
      </c>
      <c r="F15" s="108"/>
      <c r="G15" s="108"/>
      <c r="H15" s="108"/>
      <c r="I15" s="108">
        <f t="shared" si="6"/>
        <v>6172.1858480000001</v>
      </c>
      <c r="J15" s="108">
        <v>4741.0695999999998</v>
      </c>
      <c r="K15" s="108">
        <f t="shared" si="4"/>
        <v>1431.116248</v>
      </c>
      <c r="L15" s="108"/>
      <c r="M15" s="108">
        <f>1431.116248-N15</f>
        <v>127.17524800000001</v>
      </c>
      <c r="N15" s="108">
        <v>1303.941</v>
      </c>
      <c r="O15" s="349">
        <f t="shared" si="5"/>
        <v>129.55973995632633</v>
      </c>
      <c r="P15" s="350">
        <f t="shared" si="1"/>
        <v>99.519320969552908</v>
      </c>
      <c r="Q15" s="350"/>
      <c r="R15" s="350"/>
      <c r="S15" s="349"/>
      <c r="T15" s="114"/>
      <c r="U15" s="241"/>
    </row>
    <row r="16" spans="1:21">
      <c r="A16" s="110">
        <v>5</v>
      </c>
      <c r="B16" s="108" t="s">
        <v>328</v>
      </c>
      <c r="C16" s="108">
        <f t="shared" si="2"/>
        <v>5343.5720000000001</v>
      </c>
      <c r="D16" s="108">
        <v>5292.5720000000001</v>
      </c>
      <c r="E16" s="108">
        <f t="shared" si="3"/>
        <v>51</v>
      </c>
      <c r="F16" s="108"/>
      <c r="G16" s="108">
        <v>51</v>
      </c>
      <c r="H16" s="108"/>
      <c r="I16" s="108">
        <f t="shared" si="6"/>
        <v>6806.3370000000004</v>
      </c>
      <c r="J16" s="108">
        <v>5292.5720000000001</v>
      </c>
      <c r="K16" s="108">
        <f t="shared" si="4"/>
        <v>1513.7650000000001</v>
      </c>
      <c r="L16" s="108"/>
      <c r="M16" s="108">
        <f>1513.765-N16</f>
        <v>261.94100000000003</v>
      </c>
      <c r="N16" s="108">
        <v>1251.8240000000001</v>
      </c>
      <c r="O16" s="349">
        <f t="shared" si="5"/>
        <v>127.37429195302319</v>
      </c>
      <c r="P16" s="350">
        <f t="shared" si="1"/>
        <v>100</v>
      </c>
      <c r="Q16" s="350">
        <f t="shared" si="1"/>
        <v>2968.166666666667</v>
      </c>
      <c r="R16" s="350"/>
      <c r="S16" s="349">
        <f t="shared" si="7"/>
        <v>513.60980392156875</v>
      </c>
      <c r="T16" s="114"/>
      <c r="U16" s="241"/>
    </row>
    <row r="17" spans="1:21">
      <c r="A17" s="110">
        <v>6</v>
      </c>
      <c r="B17" s="108" t="s">
        <v>329</v>
      </c>
      <c r="C17" s="108">
        <f t="shared" si="2"/>
        <v>4881.201</v>
      </c>
      <c r="D17" s="108">
        <v>4779.201</v>
      </c>
      <c r="E17" s="108">
        <f t="shared" si="3"/>
        <v>102</v>
      </c>
      <c r="F17" s="108"/>
      <c r="G17" s="108">
        <v>102</v>
      </c>
      <c r="H17" s="108"/>
      <c r="I17" s="108">
        <f t="shared" si="6"/>
        <v>7374.3215</v>
      </c>
      <c r="J17" s="108">
        <v>4762.3819999999996</v>
      </c>
      <c r="K17" s="108">
        <f t="shared" si="4"/>
        <v>2611.9395</v>
      </c>
      <c r="L17" s="108"/>
      <c r="M17" s="108">
        <f>2611.9395-N17</f>
        <v>302.11749999999984</v>
      </c>
      <c r="N17" s="108">
        <v>2309.8220000000001</v>
      </c>
      <c r="O17" s="349">
        <f t="shared" si="5"/>
        <v>151.07596470622701</v>
      </c>
      <c r="P17" s="350">
        <f t="shared" si="1"/>
        <v>99.648079250067099</v>
      </c>
      <c r="Q17" s="350">
        <f t="shared" si="1"/>
        <v>2560.7249999999999</v>
      </c>
      <c r="R17" s="350"/>
      <c r="S17" s="349">
        <f t="shared" si="7"/>
        <v>296.19362745098022</v>
      </c>
      <c r="T17" s="114"/>
      <c r="U17" s="241"/>
    </row>
    <row r="18" spans="1:21">
      <c r="A18" s="110">
        <v>7</v>
      </c>
      <c r="B18" s="108" t="s">
        <v>330</v>
      </c>
      <c r="C18" s="108">
        <f t="shared" si="2"/>
        <v>4910.308</v>
      </c>
      <c r="D18" s="108">
        <v>4808.308</v>
      </c>
      <c r="E18" s="108">
        <f t="shared" si="3"/>
        <v>102</v>
      </c>
      <c r="F18" s="108"/>
      <c r="G18" s="108">
        <v>102</v>
      </c>
      <c r="H18" s="108"/>
      <c r="I18" s="108">
        <f t="shared" si="6"/>
        <v>6416.9125000000004</v>
      </c>
      <c r="J18" s="108">
        <v>4782.9430000000002</v>
      </c>
      <c r="K18" s="108">
        <f t="shared" si="4"/>
        <v>1633.9694999999999</v>
      </c>
      <c r="L18" s="108"/>
      <c r="M18" s="108">
        <f>1633.9695-N18</f>
        <v>297.67750000000001</v>
      </c>
      <c r="N18" s="108">
        <v>1336.2919999999999</v>
      </c>
      <c r="O18" s="349">
        <f t="shared" si="5"/>
        <v>130.68248468324188</v>
      </c>
      <c r="P18" s="350">
        <f t="shared" si="1"/>
        <v>99.472475556890288</v>
      </c>
      <c r="Q18" s="350">
        <f t="shared" si="1"/>
        <v>1601.9308823529411</v>
      </c>
      <c r="R18" s="350"/>
      <c r="S18" s="349">
        <f t="shared" si="7"/>
        <v>291.84068627450984</v>
      </c>
      <c r="T18" s="114"/>
      <c r="U18" s="241"/>
    </row>
    <row r="19" spans="1:21">
      <c r="A19" s="110">
        <v>8</v>
      </c>
      <c r="B19" s="108" t="s">
        <v>331</v>
      </c>
      <c r="C19" s="108">
        <f t="shared" si="2"/>
        <v>4552.8280000000004</v>
      </c>
      <c r="D19" s="108">
        <v>4501.8280000000004</v>
      </c>
      <c r="E19" s="108">
        <f t="shared" si="3"/>
        <v>51</v>
      </c>
      <c r="F19" s="108"/>
      <c r="G19" s="108">
        <v>51</v>
      </c>
      <c r="H19" s="108"/>
      <c r="I19" s="108">
        <f t="shared" si="6"/>
        <v>5919.4110000000001</v>
      </c>
      <c r="J19" s="108">
        <v>4501.8280000000004</v>
      </c>
      <c r="K19" s="108">
        <f t="shared" si="4"/>
        <v>1417.5830000000001</v>
      </c>
      <c r="L19" s="108"/>
      <c r="M19" s="108">
        <f>1417.583-N19</f>
        <v>188.31000000000017</v>
      </c>
      <c r="N19" s="108">
        <v>1229.2729999999999</v>
      </c>
      <c r="O19" s="349">
        <f t="shared" si="5"/>
        <v>130.01613502640558</v>
      </c>
      <c r="P19" s="350">
        <f t="shared" si="1"/>
        <v>100</v>
      </c>
      <c r="Q19" s="350">
        <f t="shared" si="1"/>
        <v>2779.5745098039215</v>
      </c>
      <c r="R19" s="350"/>
      <c r="S19" s="349">
        <f t="shared" si="7"/>
        <v>369.23529411764741</v>
      </c>
      <c r="T19" s="114"/>
      <c r="U19" s="241"/>
    </row>
    <row r="20" spans="1:21">
      <c r="A20" s="110">
        <v>9</v>
      </c>
      <c r="B20" s="108" t="s">
        <v>332</v>
      </c>
      <c r="C20" s="108">
        <f t="shared" si="2"/>
        <v>5359.1610000000001</v>
      </c>
      <c r="D20" s="108">
        <v>5308.1610000000001</v>
      </c>
      <c r="E20" s="108">
        <f t="shared" si="3"/>
        <v>51</v>
      </c>
      <c r="F20" s="108"/>
      <c r="G20" s="108">
        <v>51</v>
      </c>
      <c r="H20" s="108"/>
      <c r="I20" s="108">
        <f t="shared" si="6"/>
        <v>8834.2175000000007</v>
      </c>
      <c r="J20" s="108">
        <v>5308.1610000000001</v>
      </c>
      <c r="K20" s="108">
        <f t="shared" si="4"/>
        <v>3526.0565000000001</v>
      </c>
      <c r="L20" s="108"/>
      <c r="M20" s="108">
        <f>3526.0565-N20</f>
        <v>1094.4545000000003</v>
      </c>
      <c r="N20" s="108">
        <v>2431.6019999999999</v>
      </c>
      <c r="O20" s="349">
        <f>+I20/C20*100</f>
        <v>164.84329356778048</v>
      </c>
      <c r="P20" s="350">
        <f t="shared" si="1"/>
        <v>100</v>
      </c>
      <c r="Q20" s="350">
        <f t="shared" si="1"/>
        <v>6913.8362745098038</v>
      </c>
      <c r="R20" s="350"/>
      <c r="S20" s="349">
        <f t="shared" si="7"/>
        <v>2145.9892156862752</v>
      </c>
      <c r="T20" s="114"/>
      <c r="U20" s="241"/>
    </row>
    <row r="21" spans="1:21">
      <c r="A21" s="110">
        <v>10</v>
      </c>
      <c r="B21" s="108" t="s">
        <v>333</v>
      </c>
      <c r="C21" s="108">
        <f t="shared" si="2"/>
        <v>4175.0609999999997</v>
      </c>
      <c r="D21" s="108">
        <v>4175.0609999999997</v>
      </c>
      <c r="E21" s="108">
        <f t="shared" si="3"/>
        <v>0</v>
      </c>
      <c r="F21" s="108"/>
      <c r="G21" s="108"/>
      <c r="H21" s="115"/>
      <c r="I21" s="108">
        <f t="shared" si="6"/>
        <v>5420.6579999999994</v>
      </c>
      <c r="J21" s="108">
        <v>4127.9719999999998</v>
      </c>
      <c r="K21" s="108">
        <f t="shared" si="4"/>
        <v>1292.6859999999999</v>
      </c>
      <c r="L21" s="108"/>
      <c r="M21" s="108">
        <f>1292.686-N21</f>
        <v>121.97000000000003</v>
      </c>
      <c r="N21" s="115">
        <v>1170.7159999999999</v>
      </c>
      <c r="O21" s="349">
        <f>+I21/C21*100</f>
        <v>129.83422278141566</v>
      </c>
      <c r="P21" s="350">
        <f t="shared" si="1"/>
        <v>98.872136239446561</v>
      </c>
      <c r="Q21" s="350"/>
      <c r="R21" s="350"/>
      <c r="S21" s="349"/>
      <c r="T21" s="114"/>
      <c r="U21" s="241"/>
    </row>
    <row r="22" spans="1:21">
      <c r="A22" s="110">
        <v>11</v>
      </c>
      <c r="B22" s="108" t="s">
        <v>334</v>
      </c>
      <c r="C22" s="108">
        <f t="shared" si="2"/>
        <v>4167.2049999999999</v>
      </c>
      <c r="D22" s="108">
        <v>4116.2049999999999</v>
      </c>
      <c r="E22" s="108">
        <f t="shared" si="3"/>
        <v>51</v>
      </c>
      <c r="F22" s="108"/>
      <c r="G22" s="108">
        <v>51</v>
      </c>
      <c r="H22" s="115"/>
      <c r="I22" s="108">
        <f t="shared" si="6"/>
        <v>5483.0775800000001</v>
      </c>
      <c r="J22" s="108">
        <v>4108.64408</v>
      </c>
      <c r="K22" s="108">
        <f t="shared" si="4"/>
        <v>1374.4335000000001</v>
      </c>
      <c r="L22" s="108"/>
      <c r="M22" s="108">
        <f>1374.4335-N22</f>
        <v>173.51350000000002</v>
      </c>
      <c r="N22" s="115">
        <v>1200.92</v>
      </c>
      <c r="O22" s="349">
        <f>+I22/C22*100</f>
        <v>131.57686218940515</v>
      </c>
      <c r="P22" s="350">
        <f t="shared" si="1"/>
        <v>99.816313327446039</v>
      </c>
      <c r="Q22" s="350">
        <f t="shared" si="1"/>
        <v>2694.9676470588238</v>
      </c>
      <c r="R22" s="350"/>
      <c r="S22" s="349">
        <f>M22/G22*100</f>
        <v>340.22254901960787</v>
      </c>
      <c r="T22" s="114"/>
      <c r="U22" s="241"/>
    </row>
    <row r="23" spans="1:21">
      <c r="A23" s="242"/>
      <c r="B23" s="243"/>
      <c r="C23" s="242"/>
      <c r="D23" s="242"/>
      <c r="E23" s="244"/>
      <c r="F23" s="244"/>
      <c r="G23" s="244"/>
      <c r="H23" s="244"/>
      <c r="I23" s="242"/>
      <c r="J23" s="242"/>
      <c r="K23" s="244"/>
      <c r="L23" s="244"/>
      <c r="M23" s="244"/>
      <c r="N23" s="244"/>
      <c r="O23" s="242"/>
      <c r="P23" s="242"/>
      <c r="Q23" s="244"/>
      <c r="R23" s="244"/>
      <c r="S23" s="244"/>
      <c r="T23" s="244"/>
    </row>
    <row r="24" spans="1:21">
      <c r="A24" s="242"/>
      <c r="B24" s="244"/>
      <c r="C24" s="244"/>
      <c r="D24" s="244"/>
      <c r="E24" s="244"/>
      <c r="F24" s="244"/>
      <c r="G24" s="244"/>
      <c r="H24" s="244"/>
      <c r="I24" s="244"/>
      <c r="J24" s="244"/>
      <c r="K24" s="244"/>
      <c r="L24" s="245"/>
      <c r="M24" s="244"/>
      <c r="N24" s="244"/>
      <c r="O24" s="244"/>
      <c r="P24" s="244"/>
      <c r="Q24" s="244"/>
      <c r="R24" s="244"/>
      <c r="S24" s="244"/>
      <c r="T24" s="244"/>
    </row>
    <row r="25" spans="1:21">
      <c r="A25" s="242"/>
      <c r="B25" s="242"/>
      <c r="C25" s="242"/>
      <c r="D25" s="242"/>
      <c r="E25" s="244"/>
      <c r="F25" s="244"/>
      <c r="G25" s="244"/>
      <c r="H25" s="244"/>
      <c r="I25" s="242"/>
      <c r="J25" s="242"/>
      <c r="K25" s="244"/>
      <c r="L25" s="245"/>
      <c r="M25" s="244"/>
      <c r="N25" s="244"/>
      <c r="O25" s="242"/>
      <c r="P25" s="242"/>
      <c r="Q25" s="244"/>
      <c r="R25" s="244"/>
      <c r="S25" s="244"/>
      <c r="T25" s="244"/>
    </row>
    <row r="26" spans="1:21">
      <c r="A26" s="242"/>
      <c r="B26" s="246"/>
      <c r="C26" s="246"/>
      <c r="D26" s="246"/>
      <c r="E26" s="244"/>
      <c r="F26" s="244"/>
      <c r="G26" s="244"/>
      <c r="H26" s="244"/>
      <c r="I26" s="246"/>
      <c r="J26" s="246"/>
      <c r="K26" s="244"/>
      <c r="L26" s="245"/>
      <c r="M26" s="244"/>
      <c r="N26" s="244"/>
      <c r="O26" s="246"/>
      <c r="P26" s="246"/>
      <c r="Q26" s="244"/>
      <c r="R26" s="244"/>
      <c r="S26" s="244"/>
      <c r="T26" s="244"/>
    </row>
    <row r="27" spans="1:21">
      <c r="A27" s="242"/>
      <c r="B27" s="242"/>
      <c r="C27" s="242"/>
      <c r="D27" s="242"/>
      <c r="E27" s="244"/>
      <c r="F27" s="244"/>
      <c r="G27" s="244"/>
      <c r="H27" s="244"/>
      <c r="I27" s="242"/>
      <c r="J27" s="242"/>
      <c r="K27" s="244"/>
      <c r="L27" s="245"/>
      <c r="M27" s="244"/>
      <c r="N27" s="244"/>
      <c r="O27" s="242"/>
      <c r="P27" s="242"/>
      <c r="Q27" s="244"/>
      <c r="R27" s="244"/>
      <c r="S27" s="244"/>
      <c r="T27" s="244"/>
    </row>
    <row r="28" spans="1:21">
      <c r="A28" s="242"/>
      <c r="B28" s="242"/>
      <c r="C28" s="242"/>
      <c r="D28" s="242"/>
      <c r="E28" s="244"/>
      <c r="F28" s="244"/>
      <c r="G28" s="244"/>
      <c r="H28" s="244"/>
      <c r="I28" s="242"/>
      <c r="J28" s="242"/>
      <c r="K28" s="244"/>
      <c r="L28" s="245"/>
      <c r="M28" s="244"/>
      <c r="N28" s="244"/>
      <c r="O28" s="242"/>
      <c r="P28" s="242"/>
      <c r="Q28" s="244"/>
      <c r="R28" s="244"/>
      <c r="S28" s="244"/>
      <c r="T28" s="244"/>
    </row>
    <row r="29" spans="1:21">
      <c r="A29" s="242"/>
      <c r="B29" s="242"/>
      <c r="C29" s="242"/>
      <c r="D29" s="242"/>
      <c r="E29" s="244"/>
      <c r="F29" s="244"/>
      <c r="G29" s="244"/>
      <c r="H29" s="244"/>
      <c r="I29" s="242"/>
      <c r="J29" s="242"/>
      <c r="K29" s="244"/>
      <c r="L29" s="245"/>
      <c r="M29" s="244"/>
      <c r="N29" s="244"/>
      <c r="O29" s="242"/>
      <c r="P29" s="242"/>
      <c r="Q29" s="244"/>
      <c r="R29" s="244"/>
      <c r="S29" s="244"/>
      <c r="T29" s="244"/>
    </row>
    <row r="30" spans="1:21">
      <c r="A30" s="242"/>
      <c r="B30" s="242"/>
      <c r="C30" s="242"/>
      <c r="D30" s="242"/>
      <c r="E30" s="244"/>
      <c r="F30" s="244"/>
      <c r="G30" s="244"/>
      <c r="H30" s="244"/>
      <c r="I30" s="242"/>
      <c r="J30" s="242"/>
      <c r="K30" s="244"/>
      <c r="L30" s="245"/>
      <c r="M30" s="244"/>
      <c r="N30" s="244"/>
      <c r="O30" s="242"/>
      <c r="P30" s="242"/>
      <c r="Q30" s="244"/>
      <c r="R30" s="244"/>
      <c r="S30" s="244"/>
      <c r="T30" s="244"/>
    </row>
    <row r="31" spans="1:21">
      <c r="E31" s="244"/>
      <c r="F31" s="244"/>
      <c r="G31" s="244"/>
      <c r="H31" s="244"/>
      <c r="K31" s="244"/>
      <c r="L31" s="245"/>
      <c r="M31" s="244"/>
      <c r="N31" s="244"/>
      <c r="Q31" s="244"/>
      <c r="R31" s="244"/>
      <c r="S31" s="244"/>
      <c r="T31" s="244"/>
    </row>
    <row r="32" spans="1:21">
      <c r="E32" s="244"/>
      <c r="F32" s="244"/>
      <c r="G32" s="244"/>
      <c r="H32" s="244"/>
      <c r="K32" s="244"/>
      <c r="L32" s="245"/>
      <c r="M32" s="244"/>
      <c r="N32" s="244"/>
      <c r="Q32" s="244"/>
      <c r="R32" s="244"/>
      <c r="S32" s="244"/>
      <c r="T32" s="244"/>
    </row>
    <row r="33" spans="5:20">
      <c r="E33" s="244"/>
      <c r="F33" s="244"/>
      <c r="G33" s="244"/>
      <c r="H33" s="244"/>
      <c r="K33" s="244"/>
      <c r="L33" s="245"/>
      <c r="M33" s="244"/>
      <c r="N33" s="244"/>
      <c r="Q33" s="244"/>
      <c r="R33" s="244"/>
      <c r="S33" s="244"/>
      <c r="T33" s="244"/>
    </row>
    <row r="34" spans="5:20">
      <c r="E34" s="244"/>
      <c r="F34" s="244"/>
      <c r="G34" s="244"/>
      <c r="H34" s="244"/>
      <c r="K34" s="244"/>
      <c r="L34" s="245"/>
      <c r="M34" s="244"/>
      <c r="N34" s="244"/>
      <c r="Q34" s="244"/>
      <c r="R34" s="244"/>
      <c r="S34" s="244"/>
      <c r="T34" s="244"/>
    </row>
    <row r="35" spans="5:20">
      <c r="E35" s="244"/>
      <c r="F35" s="244"/>
      <c r="G35" s="244"/>
      <c r="H35" s="244"/>
      <c r="K35" s="244"/>
      <c r="L35" s="244"/>
      <c r="M35" s="244"/>
      <c r="N35" s="244"/>
      <c r="Q35" s="244"/>
      <c r="R35" s="244"/>
      <c r="S35" s="244"/>
      <c r="T35" s="244"/>
    </row>
    <row r="36" spans="5:20">
      <c r="E36" s="244"/>
      <c r="F36" s="244"/>
      <c r="G36" s="244"/>
      <c r="H36" s="244"/>
      <c r="K36" s="244"/>
      <c r="L36" s="244"/>
      <c r="M36" s="244"/>
      <c r="N36" s="244"/>
      <c r="Q36" s="244"/>
      <c r="R36" s="244"/>
      <c r="S36" s="244"/>
      <c r="T36" s="244"/>
    </row>
    <row r="37" spans="5:20">
      <c r="E37" s="244"/>
      <c r="F37" s="244"/>
      <c r="G37" s="244"/>
      <c r="H37" s="244"/>
      <c r="K37" s="244"/>
      <c r="L37" s="244"/>
      <c r="M37" s="244"/>
      <c r="N37" s="244"/>
      <c r="Q37" s="244"/>
      <c r="R37" s="244"/>
      <c r="S37" s="244"/>
      <c r="T37" s="244"/>
    </row>
    <row r="38" spans="5:20">
      <c r="E38" s="244"/>
      <c r="F38" s="244"/>
      <c r="G38" s="244"/>
      <c r="H38" s="244"/>
      <c r="K38" s="244"/>
      <c r="L38" s="244"/>
      <c r="M38" s="244"/>
      <c r="N38" s="244"/>
      <c r="Q38" s="244"/>
      <c r="R38" s="244"/>
      <c r="S38" s="244"/>
      <c r="T38" s="244"/>
    </row>
    <row r="39" spans="5:20">
      <c r="E39" s="244"/>
      <c r="F39" s="244"/>
      <c r="G39" s="244"/>
      <c r="H39" s="244"/>
      <c r="K39" s="244"/>
      <c r="L39" s="244"/>
      <c r="M39" s="244"/>
      <c r="N39" s="244"/>
      <c r="Q39" s="244"/>
      <c r="R39" s="244"/>
      <c r="S39" s="244"/>
      <c r="T39" s="244"/>
    </row>
    <row r="40" spans="5:20">
      <c r="E40" s="244"/>
      <c r="F40" s="244"/>
      <c r="G40" s="244"/>
      <c r="H40" s="244"/>
      <c r="K40" s="244"/>
      <c r="L40" s="244"/>
      <c r="M40" s="244"/>
      <c r="N40" s="244"/>
      <c r="Q40" s="244"/>
      <c r="R40" s="244"/>
      <c r="S40" s="244"/>
      <c r="T40" s="244"/>
    </row>
    <row r="41" spans="5:20">
      <c r="E41" s="244"/>
      <c r="F41" s="244"/>
      <c r="G41" s="244"/>
      <c r="H41" s="244"/>
      <c r="K41" s="244"/>
      <c r="L41" s="244"/>
      <c r="M41" s="244"/>
      <c r="N41" s="244"/>
      <c r="Q41" s="244"/>
      <c r="R41" s="244"/>
      <c r="S41" s="244"/>
      <c r="T41" s="244"/>
    </row>
    <row r="42" spans="5:20">
      <c r="E42" s="244"/>
      <c r="F42" s="244"/>
      <c r="G42" s="244"/>
      <c r="H42" s="244"/>
      <c r="K42" s="244"/>
      <c r="L42" s="244"/>
      <c r="M42" s="244"/>
      <c r="N42" s="244"/>
      <c r="Q42" s="244"/>
      <c r="R42" s="244"/>
      <c r="S42" s="244"/>
      <c r="T42" s="244"/>
    </row>
    <row r="43" spans="5:20">
      <c r="E43" s="244"/>
      <c r="F43" s="244"/>
      <c r="G43" s="244"/>
      <c r="H43" s="244"/>
      <c r="K43" s="244"/>
      <c r="L43" s="244"/>
      <c r="M43" s="244"/>
      <c r="N43" s="244"/>
      <c r="Q43" s="244"/>
      <c r="R43" s="244"/>
      <c r="S43" s="244"/>
      <c r="T43" s="244"/>
    </row>
    <row r="44" spans="5:20">
      <c r="E44" s="244"/>
      <c r="F44" s="244"/>
      <c r="G44" s="244"/>
      <c r="H44" s="244"/>
      <c r="K44" s="244"/>
      <c r="L44" s="244"/>
      <c r="M44" s="244"/>
      <c r="N44" s="244"/>
      <c r="Q44" s="244"/>
      <c r="R44" s="244"/>
      <c r="S44" s="244"/>
      <c r="T44" s="244"/>
    </row>
    <row r="45" spans="5:20">
      <c r="E45" s="244"/>
      <c r="F45" s="244"/>
      <c r="G45" s="244"/>
      <c r="H45" s="244"/>
      <c r="K45" s="244"/>
      <c r="L45" s="244"/>
      <c r="M45" s="244"/>
      <c r="N45" s="244"/>
      <c r="Q45" s="244"/>
      <c r="R45" s="244"/>
      <c r="S45" s="244"/>
      <c r="T45" s="244"/>
    </row>
    <row r="46" spans="5:20">
      <c r="E46" s="244"/>
      <c r="F46" s="244"/>
      <c r="G46" s="244"/>
      <c r="H46" s="244"/>
      <c r="K46" s="244"/>
      <c r="L46" s="244"/>
      <c r="M46" s="244"/>
      <c r="N46" s="244"/>
      <c r="Q46" s="244"/>
      <c r="R46" s="244"/>
      <c r="S46" s="244"/>
      <c r="T46" s="244"/>
    </row>
    <row r="47" spans="5:20">
      <c r="E47" s="244"/>
      <c r="F47" s="244"/>
      <c r="G47" s="244"/>
      <c r="H47" s="244"/>
      <c r="K47" s="244"/>
      <c r="L47" s="244"/>
      <c r="M47" s="244"/>
      <c r="N47" s="244"/>
      <c r="Q47" s="244"/>
      <c r="R47" s="244"/>
      <c r="S47" s="244"/>
      <c r="T47" s="244"/>
    </row>
    <row r="48" spans="5:20">
      <c r="E48" s="244"/>
      <c r="F48" s="244"/>
      <c r="G48" s="244"/>
      <c r="H48" s="244"/>
      <c r="K48" s="244"/>
      <c r="L48" s="244"/>
      <c r="M48" s="244"/>
      <c r="N48" s="244"/>
      <c r="Q48" s="244"/>
      <c r="R48" s="244"/>
      <c r="S48" s="244"/>
      <c r="T48" s="244"/>
    </row>
  </sheetData>
  <mergeCells count="20">
    <mergeCell ref="I8:I9"/>
    <mergeCell ref="J8:J9"/>
    <mergeCell ref="K8:N8"/>
    <mergeCell ref="O8:O9"/>
    <mergeCell ref="O1:T1"/>
    <mergeCell ref="O2:T2"/>
    <mergeCell ref="A4:T4"/>
    <mergeCell ref="A5:T5"/>
    <mergeCell ref="A7:A9"/>
    <mergeCell ref="B7:B9"/>
    <mergeCell ref="C7:H7"/>
    <mergeCell ref="I7:N7"/>
    <mergeCell ref="O7:T7"/>
    <mergeCell ref="C8:C9"/>
    <mergeCell ref="P8:P9"/>
    <mergeCell ref="Q8:T8"/>
    <mergeCell ref="R6:T6"/>
    <mergeCell ref="A1:C1"/>
    <mergeCell ref="D8:D9"/>
    <mergeCell ref="E8:H8"/>
  </mergeCells>
  <pageMargins left="0.31" right="0.24" top="0.42"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TH</vt:lpstr>
      <vt:lpstr>48</vt:lpstr>
      <vt:lpstr>50</vt:lpstr>
      <vt:lpstr>51</vt:lpstr>
      <vt:lpstr>52</vt:lpstr>
      <vt:lpstr>53</vt:lpstr>
      <vt:lpstr>54</vt:lpstr>
      <vt:lpstr>58</vt:lpstr>
      <vt:lpstr>59</vt:lpstr>
      <vt:lpstr>61</vt:lpstr>
      <vt:lpstr>64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2023-06-13T16:40:01Z</cp:lastPrinted>
  <dcterms:created xsi:type="dcterms:W3CDTF">2022-05-13T07:15:24Z</dcterms:created>
  <dcterms:modified xsi:type="dcterms:W3CDTF">2023-06-22T07:56:09Z</dcterms:modified>
</cp:coreProperties>
</file>