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tabRatio="859" firstSheet="1" activeTab="2"/>
  </bookViews>
  <sheets>
    <sheet name="PL II 2022" sheetId="29" state="hidden" r:id="rId1"/>
    <sheet name="PL 02 tổg CTMT" sheetId="37" r:id="rId2"/>
    <sheet name="B3 CTMT.đầu tư" sheetId="35" r:id="rId3"/>
    <sheet name="B4 CTMT SN" sheetId="36" r:id="rId4"/>
    <sheet name="Sheet1" sheetId="38" state="hidden" r:id="rId5"/>
    <sheet name="sn" sheetId="39" state="hidden" r:id="rId6"/>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REC">#N/A</definedName>
    <definedName name="CATSYU">#N/A</definedName>
    <definedName name="catvang" localSheetId="0">#REF!</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2">'B3 CTMT.đầu tư'!$A$1:$N$2</definedName>
    <definedName name="_xlnm.Print_Area" localSheetId="0">'PL II 2022'!$A$1:$M$12</definedName>
    <definedName name="_xlnm.Print_Titles" localSheetId="2">'B3 CTMT.đầu tư'!#REF!</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 i="35" l="1"/>
  <c r="V10" i="37" l="1"/>
  <c r="U10" i="37"/>
  <c r="W10" i="37" l="1"/>
  <c r="O15" i="37"/>
  <c r="X215" i="35"/>
  <c r="W215" i="35"/>
  <c r="U215" i="35"/>
  <c r="V41" i="35"/>
  <c r="F218" i="36"/>
  <c r="R15" i="37"/>
  <c r="U11" i="35"/>
  <c r="U10" i="35"/>
  <c r="S33" i="35"/>
  <c r="W173" i="35"/>
  <c r="W174" i="35"/>
  <c r="U181" i="35"/>
  <c r="H22" i="37"/>
  <c r="G22" i="37"/>
  <c r="R22" i="37" l="1"/>
  <c r="U62" i="35"/>
  <c r="T115" i="35"/>
  <c r="T114" i="35" s="1"/>
  <c r="U115" i="35"/>
  <c r="U114" i="35" s="1"/>
  <c r="V115" i="35"/>
  <c r="V114" i="35" s="1"/>
  <c r="W115" i="35"/>
  <c r="W114" i="35" s="1"/>
  <c r="V118" i="35"/>
  <c r="U118" i="35"/>
  <c r="T117" i="35"/>
  <c r="U117" i="35"/>
  <c r="V117" i="35"/>
  <c r="T118" i="35"/>
  <c r="V121" i="35"/>
  <c r="X160" i="35"/>
  <c r="X161" i="35"/>
  <c r="U161" i="35"/>
  <c r="U160" i="35" s="1"/>
  <c r="V161" i="35"/>
  <c r="V160" i="35" s="1"/>
  <c r="W161" i="35"/>
  <c r="W160" i="35" s="1"/>
  <c r="T160" i="35"/>
  <c r="T161" i="35"/>
  <c r="X162" i="35"/>
  <c r="U122" i="35"/>
  <c r="U123" i="35"/>
  <c r="U124" i="35"/>
  <c r="U125" i="35"/>
  <c r="U126" i="35"/>
  <c r="U127" i="35"/>
  <c r="U128" i="35"/>
  <c r="L30" i="37" l="1"/>
  <c r="O30" i="37"/>
  <c r="O29" i="37"/>
  <c r="J68" i="36" l="1"/>
  <c r="J67" i="36"/>
  <c r="G8" i="36"/>
  <c r="J8" i="36" s="1"/>
  <c r="F8" i="36"/>
  <c r="G9" i="36"/>
  <c r="G10" i="36"/>
  <c r="G11" i="36"/>
  <c r="J11" i="36" s="1"/>
  <c r="G12" i="36"/>
  <c r="G13" i="36"/>
  <c r="G14" i="36"/>
  <c r="G15" i="36"/>
  <c r="J15" i="36" s="1"/>
  <c r="G16" i="36"/>
  <c r="G17" i="36"/>
  <c r="G18" i="36"/>
  <c r="G19" i="36"/>
  <c r="J19" i="36" s="1"/>
  <c r="G20" i="36"/>
  <c r="G21" i="36"/>
  <c r="G22" i="36"/>
  <c r="G23" i="36"/>
  <c r="J23" i="36" s="1"/>
  <c r="G24" i="36"/>
  <c r="G25" i="36"/>
  <c r="G26" i="36"/>
  <c r="G27" i="36"/>
  <c r="J27" i="36" s="1"/>
  <c r="G28" i="36"/>
  <c r="G29" i="36"/>
  <c r="G30" i="36"/>
  <c r="G31" i="36"/>
  <c r="J31" i="36" s="1"/>
  <c r="G32" i="36"/>
  <c r="G33" i="36"/>
  <c r="G34" i="36"/>
  <c r="G35" i="36"/>
  <c r="E34" i="36"/>
  <c r="J9" i="36"/>
  <c r="J10" i="36"/>
  <c r="J12" i="36"/>
  <c r="J13" i="36"/>
  <c r="J14" i="36"/>
  <c r="J16" i="36"/>
  <c r="J17" i="36"/>
  <c r="J18" i="36"/>
  <c r="J20" i="36"/>
  <c r="J21" i="36"/>
  <c r="J22" i="36"/>
  <c r="J24" i="36"/>
  <c r="J25" i="36"/>
  <c r="J26" i="36"/>
  <c r="J28" i="36"/>
  <c r="J29" i="36"/>
  <c r="J30" i="36"/>
  <c r="J32" i="36"/>
  <c r="J33" i="36"/>
  <c r="I7" i="36"/>
  <c r="I6" i="36"/>
  <c r="D37" i="36"/>
  <c r="D38" i="36"/>
  <c r="D39" i="36"/>
  <c r="D36" i="36"/>
  <c r="J39" i="36"/>
  <c r="J140" i="36"/>
  <c r="J141" i="36"/>
  <c r="J142" i="36"/>
  <c r="J143" i="36"/>
  <c r="J144" i="36"/>
  <c r="J145" i="36"/>
  <c r="J146" i="36"/>
  <c r="J148" i="36"/>
  <c r="J149" i="36"/>
  <c r="J150" i="36"/>
  <c r="J151" i="36"/>
  <c r="J161" i="36"/>
  <c r="J162" i="36"/>
  <c r="J163" i="36"/>
  <c r="J164" i="36"/>
  <c r="J165" i="36"/>
  <c r="J166" i="36"/>
  <c r="J167" i="36"/>
  <c r="J168" i="36"/>
  <c r="J169" i="36"/>
  <c r="J170" i="36"/>
  <c r="J171" i="36"/>
  <c r="J172" i="36"/>
  <c r="J173" i="36"/>
  <c r="J174" i="36"/>
  <c r="J175" i="36"/>
  <c r="J176" i="36"/>
  <c r="J177" i="36"/>
  <c r="J178" i="36"/>
  <c r="J179" i="36"/>
  <c r="J180" i="36"/>
  <c r="J181" i="36"/>
  <c r="J182" i="36"/>
  <c r="J183" i="36"/>
  <c r="J184" i="36"/>
  <c r="J185" i="36"/>
  <c r="J186" i="36"/>
  <c r="J187" i="36"/>
  <c r="J188" i="36"/>
  <c r="J190" i="36"/>
  <c r="J191" i="36"/>
  <c r="J192" i="36"/>
  <c r="J193" i="36"/>
  <c r="J194" i="36"/>
  <c r="J195" i="36"/>
  <c r="J196" i="36"/>
  <c r="J197" i="36"/>
  <c r="J198" i="36"/>
  <c r="J199" i="36"/>
  <c r="J200" i="36"/>
  <c r="J201" i="36"/>
  <c r="J202" i="36"/>
  <c r="J203" i="36"/>
  <c r="J204" i="36"/>
  <c r="J205" i="36"/>
  <c r="J206" i="36"/>
  <c r="J207" i="36"/>
  <c r="J208" i="36"/>
  <c r="J209" i="36"/>
  <c r="J210" i="36"/>
  <c r="J211" i="36"/>
  <c r="J212" i="36"/>
  <c r="J213" i="36"/>
  <c r="J214" i="36"/>
  <c r="J215" i="36"/>
  <c r="J216" i="36"/>
  <c r="J217" i="36"/>
  <c r="J219" i="36"/>
  <c r="J220" i="36"/>
  <c r="J221" i="36"/>
  <c r="J222" i="36"/>
  <c r="J223" i="36"/>
  <c r="J224" i="36"/>
  <c r="J225" i="36"/>
  <c r="J226" i="36"/>
  <c r="J227" i="36"/>
  <c r="J228" i="36"/>
  <c r="J229" i="36"/>
  <c r="J230" i="36"/>
  <c r="J231" i="36"/>
  <c r="J232" i="36"/>
  <c r="J233" i="36"/>
  <c r="J234" i="36"/>
  <c r="J235" i="36"/>
  <c r="J236" i="36"/>
  <c r="J237" i="36"/>
  <c r="J253" i="36"/>
  <c r="J254" i="36"/>
  <c r="J255" i="36"/>
  <c r="J256" i="36"/>
  <c r="J257" i="36"/>
  <c r="J258" i="36"/>
  <c r="J259" i="36"/>
  <c r="J260" i="36"/>
  <c r="J261" i="36"/>
  <c r="J262" i="36"/>
  <c r="J263" i="36"/>
  <c r="J264" i="36"/>
  <c r="J265" i="36"/>
  <c r="J266" i="36"/>
  <c r="J267" i="36"/>
  <c r="J268" i="36"/>
  <c r="J269" i="36"/>
  <c r="J270" i="36"/>
  <c r="J271" i="36"/>
  <c r="J272" i="36"/>
  <c r="J273" i="36"/>
  <c r="J274" i="36"/>
  <c r="J275" i="36"/>
  <c r="J276" i="36"/>
  <c r="J277" i="36"/>
  <c r="J278" i="36"/>
  <c r="J279" i="36"/>
  <c r="J280" i="36"/>
  <c r="J281" i="36"/>
  <c r="J282" i="36"/>
  <c r="J283" i="36"/>
  <c r="J284" i="36"/>
  <c r="J285" i="36"/>
  <c r="J286" i="36"/>
  <c r="J287" i="36"/>
  <c r="J288" i="36"/>
  <c r="J289" i="36"/>
  <c r="J290" i="36"/>
  <c r="J291" i="36"/>
  <c r="J292" i="36"/>
  <c r="J293" i="36"/>
  <c r="J294" i="36"/>
  <c r="J295" i="36"/>
  <c r="J296" i="36"/>
  <c r="J297" i="36"/>
  <c r="J298" i="36"/>
  <c r="J299" i="36"/>
  <c r="J300" i="36"/>
  <c r="J301" i="36"/>
  <c r="J302" i="36"/>
  <c r="J238" i="36"/>
  <c r="J239" i="36"/>
  <c r="J240" i="36"/>
  <c r="J241" i="36"/>
  <c r="J242" i="36"/>
  <c r="J243" i="36"/>
  <c r="J244" i="36"/>
  <c r="J245" i="36"/>
  <c r="J246" i="36"/>
  <c r="J247" i="36"/>
  <c r="J248" i="36"/>
  <c r="J249" i="36"/>
  <c r="J250" i="36"/>
  <c r="J251" i="36"/>
  <c r="J252" i="36"/>
  <c r="I189" i="36"/>
  <c r="G189" i="36"/>
  <c r="J189" i="36" s="1"/>
  <c r="H189" i="36"/>
  <c r="G190" i="36"/>
  <c r="H190" i="36"/>
  <c r="I190"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6" i="36"/>
  <c r="G97" i="36"/>
  <c r="G98" i="36"/>
  <c r="G99" i="36"/>
  <c r="G100" i="36"/>
  <c r="G101" i="36"/>
  <c r="G102" i="36"/>
  <c r="G103" i="36"/>
  <c r="G104" i="36"/>
  <c r="G105" i="36"/>
  <c r="G106" i="36"/>
  <c r="G107" i="36"/>
  <c r="G108" i="36"/>
  <c r="G109" i="36"/>
  <c r="G110" i="36"/>
  <c r="G111" i="36"/>
  <c r="G112" i="36"/>
  <c r="G113" i="36"/>
  <c r="G114"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39" i="36"/>
  <c r="G140" i="36"/>
  <c r="G141" i="36"/>
  <c r="G142" i="36"/>
  <c r="G143" i="36"/>
  <c r="G144" i="36"/>
  <c r="G145" i="36"/>
  <c r="G146" i="36"/>
  <c r="G147" i="36"/>
  <c r="G148" i="36"/>
  <c r="G149" i="36"/>
  <c r="G150" i="36"/>
  <c r="G151" i="36"/>
  <c r="G152" i="36"/>
  <c r="G153" i="36"/>
  <c r="G154" i="36"/>
  <c r="G155" i="36"/>
  <c r="G156" i="36"/>
  <c r="G157" i="36"/>
  <c r="G158" i="36"/>
  <c r="G159" i="36"/>
  <c r="G160" i="36"/>
  <c r="G161" i="36"/>
  <c r="G162" i="36"/>
  <c r="G163" i="36"/>
  <c r="G164" i="36"/>
  <c r="G165" i="36"/>
  <c r="G166" i="36"/>
  <c r="G167" i="36"/>
  <c r="G168" i="36"/>
  <c r="G169" i="36"/>
  <c r="G170" i="36"/>
  <c r="G171" i="36"/>
  <c r="G172" i="36"/>
  <c r="G173" i="36"/>
  <c r="G174" i="36"/>
  <c r="G175" i="36"/>
  <c r="G176" i="36"/>
  <c r="G177" i="36"/>
  <c r="G178" i="36"/>
  <c r="G179" i="36"/>
  <c r="G180" i="36"/>
  <c r="G181" i="36"/>
  <c r="G182" i="36"/>
  <c r="G183" i="36"/>
  <c r="G184" i="36"/>
  <c r="G185" i="36"/>
  <c r="G186" i="36"/>
  <c r="G187" i="36"/>
  <c r="G188" i="36"/>
  <c r="G191" i="36"/>
  <c r="G192" i="36"/>
  <c r="G193" i="36"/>
  <c r="G194" i="36"/>
  <c r="G195" i="36"/>
  <c r="G196" i="36"/>
  <c r="G197" i="36"/>
  <c r="G198" i="36"/>
  <c r="G199" i="36"/>
  <c r="G200" i="36"/>
  <c r="G201" i="36"/>
  <c r="G202" i="36"/>
  <c r="G203" i="36"/>
  <c r="G204" i="36"/>
  <c r="G205" i="36"/>
  <c r="G206" i="36"/>
  <c r="G207" i="36"/>
  <c r="G208" i="36"/>
  <c r="G209" i="36"/>
  <c r="G210" i="36"/>
  <c r="G211" i="36"/>
  <c r="G212" i="36"/>
  <c r="G213" i="36"/>
  <c r="G214" i="36"/>
  <c r="G215" i="36"/>
  <c r="G216" i="36"/>
  <c r="G217" i="36"/>
  <c r="G218" i="36"/>
  <c r="G219" i="36"/>
  <c r="G220" i="36"/>
  <c r="G221" i="36"/>
  <c r="G222" i="36"/>
  <c r="G223" i="36"/>
  <c r="G224" i="36"/>
  <c r="G225" i="36"/>
  <c r="G226" i="36"/>
  <c r="G227" i="36"/>
  <c r="G228" i="36"/>
  <c r="G229" i="36"/>
  <c r="G230" i="36"/>
  <c r="G231" i="36"/>
  <c r="G232" i="36"/>
  <c r="G233" i="36"/>
  <c r="G234" i="36"/>
  <c r="G235" i="36"/>
  <c r="G236" i="36"/>
  <c r="G237" i="36"/>
  <c r="G238" i="36"/>
  <c r="G239" i="36"/>
  <c r="G240" i="36"/>
  <c r="G241" i="36"/>
  <c r="G242" i="36"/>
  <c r="G243" i="36"/>
  <c r="G244" i="36"/>
  <c r="G245" i="36"/>
  <c r="G246" i="36"/>
  <c r="G247" i="36"/>
  <c r="G248" i="36"/>
  <c r="G249" i="36"/>
  <c r="G250" i="36"/>
  <c r="G251" i="36"/>
  <c r="G252" i="36"/>
  <c r="G253" i="36"/>
  <c r="G254" i="36"/>
  <c r="G255" i="36"/>
  <c r="G256" i="36"/>
  <c r="G257" i="36"/>
  <c r="G258" i="36"/>
  <c r="G259" i="36"/>
  <c r="G260" i="36"/>
  <c r="G261" i="36"/>
  <c r="G262" i="36"/>
  <c r="G263" i="36"/>
  <c r="G264" i="36"/>
  <c r="G265" i="36"/>
  <c r="G266" i="36"/>
  <c r="G267" i="36"/>
  <c r="G268" i="36"/>
  <c r="G269" i="36"/>
  <c r="G270" i="36"/>
  <c r="G271" i="36"/>
  <c r="G272" i="36"/>
  <c r="G273" i="36"/>
  <c r="G274" i="36"/>
  <c r="G275" i="36"/>
  <c r="G276" i="36"/>
  <c r="G277" i="36"/>
  <c r="G278" i="36"/>
  <c r="G279" i="36"/>
  <c r="G280" i="36"/>
  <c r="G281" i="36"/>
  <c r="G282" i="36"/>
  <c r="G283" i="36"/>
  <c r="G284" i="36"/>
  <c r="G285" i="36"/>
  <c r="G286" i="36"/>
  <c r="G287" i="36"/>
  <c r="G288" i="36"/>
  <c r="G289" i="36"/>
  <c r="G290" i="36"/>
  <c r="G291" i="36"/>
  <c r="G292" i="36"/>
  <c r="G293" i="36"/>
  <c r="G294" i="36"/>
  <c r="G295" i="36"/>
  <c r="G296" i="36"/>
  <c r="G297" i="36"/>
  <c r="G298" i="36"/>
  <c r="G299" i="36"/>
  <c r="G300" i="36"/>
  <c r="S36" i="37"/>
  <c r="G7" i="36" l="1"/>
  <c r="G6" i="36" s="1"/>
  <c r="V97" i="35"/>
  <c r="U59" i="35" l="1"/>
  <c r="R26" i="37"/>
  <c r="I237" i="36" l="1"/>
  <c r="F238" i="36"/>
  <c r="H238" i="36"/>
  <c r="I238" i="36"/>
  <c r="F240" i="36"/>
  <c r="F237" i="36" s="1"/>
  <c r="I240" i="36"/>
  <c r="F241" i="36"/>
  <c r="H241" i="36"/>
  <c r="H240" i="36" s="1"/>
  <c r="I241" i="36"/>
  <c r="O36" i="37" l="1"/>
  <c r="R35" i="37"/>
  <c r="X43" i="35" l="1"/>
  <c r="X44" i="35"/>
  <c r="X45" i="35"/>
  <c r="X46" i="35"/>
  <c r="X47" i="35"/>
  <c r="X48" i="35"/>
  <c r="X49" i="35"/>
  <c r="X50" i="35"/>
  <c r="X51" i="35"/>
  <c r="X52" i="35"/>
  <c r="X53" i="35"/>
  <c r="X54" i="35"/>
  <c r="X55" i="35"/>
  <c r="X56" i="35"/>
  <c r="X57" i="35"/>
  <c r="X58" i="35"/>
  <c r="X59" i="35"/>
  <c r="U138" i="35" l="1"/>
  <c r="U134" i="35" l="1"/>
  <c r="U87" i="35"/>
  <c r="R33" i="37" l="1"/>
  <c r="U176" i="35"/>
  <c r="R27" i="37"/>
  <c r="P27" i="37"/>
  <c r="L33" i="37"/>
  <c r="H33" i="37" l="1"/>
  <c r="V138" i="35"/>
  <c r="W138" i="35"/>
  <c r="T138" i="35"/>
  <c r="U149" i="35"/>
  <c r="T33" i="35"/>
  <c r="U33" i="35"/>
  <c r="V33" i="35"/>
  <c r="W33" i="35"/>
  <c r="W32" i="35" s="1"/>
  <c r="T40" i="35"/>
  <c r="V40" i="35"/>
  <c r="W40" i="35"/>
  <c r="T32" i="35"/>
  <c r="T63" i="35"/>
  <c r="T62" i="35" s="1"/>
  <c r="W63" i="35"/>
  <c r="W62" i="35" s="1"/>
  <c r="T81" i="35"/>
  <c r="T80" i="35" s="1"/>
  <c r="U81" i="35"/>
  <c r="V81" i="35"/>
  <c r="W81" i="35"/>
  <c r="W80" i="35" s="1"/>
  <c r="T84" i="35"/>
  <c r="V84" i="35"/>
  <c r="V80" i="35" s="1"/>
  <c r="W84" i="35"/>
  <c r="T91" i="35"/>
  <c r="T90" i="35" s="1"/>
  <c r="V91" i="35"/>
  <c r="V90" i="35" s="1"/>
  <c r="W91" i="35"/>
  <c r="W90" i="35" s="1"/>
  <c r="U103" i="35"/>
  <c r="U104" i="35"/>
  <c r="U105" i="35"/>
  <c r="U106" i="35"/>
  <c r="U107" i="35"/>
  <c r="U108" i="35"/>
  <c r="U109" i="35"/>
  <c r="U110" i="35"/>
  <c r="U111" i="35"/>
  <c r="U112" i="35"/>
  <c r="U113" i="35"/>
  <c r="U116" i="35"/>
  <c r="U119" i="35"/>
  <c r="U120" i="35"/>
  <c r="U121" i="35"/>
  <c r="U129" i="35"/>
  <c r="V105" i="35"/>
  <c r="U93" i="35"/>
  <c r="U94" i="35"/>
  <c r="U95" i="35"/>
  <c r="U96" i="35"/>
  <c r="U97" i="35"/>
  <c r="U98" i="35"/>
  <c r="U99" i="35"/>
  <c r="U100" i="35"/>
  <c r="U91" i="35" s="1"/>
  <c r="U90" i="35" s="1"/>
  <c r="U101" i="35"/>
  <c r="U102" i="35"/>
  <c r="U92" i="35"/>
  <c r="U89" i="35"/>
  <c r="U88" i="35"/>
  <c r="V88" i="35"/>
  <c r="U64" i="35"/>
  <c r="U65" i="35"/>
  <c r="U66" i="35"/>
  <c r="U67" i="35"/>
  <c r="U68" i="35"/>
  <c r="U69" i="35"/>
  <c r="U70" i="35"/>
  <c r="U71" i="35"/>
  <c r="U72" i="35"/>
  <c r="U73" i="35"/>
  <c r="U74" i="35"/>
  <c r="U75" i="35"/>
  <c r="U76" i="35"/>
  <c r="U77" i="35"/>
  <c r="U78" i="35"/>
  <c r="U79" i="35"/>
  <c r="U82" i="35"/>
  <c r="U83" i="35"/>
  <c r="U85" i="35"/>
  <c r="U86" i="35"/>
  <c r="U56" i="35"/>
  <c r="U57" i="35"/>
  <c r="U58" i="35"/>
  <c r="U40" i="35"/>
  <c r="U32" i="35" s="1"/>
  <c r="U60" i="35"/>
  <c r="U61" i="35"/>
  <c r="U51" i="35"/>
  <c r="U52" i="35"/>
  <c r="U53" i="35"/>
  <c r="U54" i="35"/>
  <c r="U55" i="35"/>
  <c r="U45" i="35"/>
  <c r="U46" i="35"/>
  <c r="U47" i="35"/>
  <c r="U48" i="35"/>
  <c r="U49" i="35"/>
  <c r="U50" i="35"/>
  <c r="U41" i="35"/>
  <c r="U42" i="35"/>
  <c r="U43" i="35"/>
  <c r="U44" i="35"/>
  <c r="U35" i="35"/>
  <c r="U36" i="35"/>
  <c r="U37" i="35"/>
  <c r="U38" i="35"/>
  <c r="U39" i="35"/>
  <c r="U34" i="35"/>
  <c r="U14" i="35"/>
  <c r="U15" i="35"/>
  <c r="U16" i="35"/>
  <c r="U17" i="35"/>
  <c r="U18" i="35"/>
  <c r="U19" i="35"/>
  <c r="U20" i="35"/>
  <c r="U21" i="35"/>
  <c r="U22" i="35"/>
  <c r="U23" i="35"/>
  <c r="U24" i="35"/>
  <c r="U25" i="35"/>
  <c r="U26" i="35"/>
  <c r="U27" i="35"/>
  <c r="U28" i="35"/>
  <c r="U29" i="35"/>
  <c r="U30" i="35"/>
  <c r="U31" i="35"/>
  <c r="U13" i="35"/>
  <c r="H35" i="36"/>
  <c r="S90" i="35"/>
  <c r="S91" i="35"/>
  <c r="T103" i="35"/>
  <c r="V103" i="35"/>
  <c r="W103" i="35"/>
  <c r="J10" i="35"/>
  <c r="K10" i="35"/>
  <c r="L10" i="35"/>
  <c r="M10" i="35"/>
  <c r="N10" i="35"/>
  <c r="O10" i="35"/>
  <c r="P10" i="35"/>
  <c r="Q10" i="35"/>
  <c r="I10" i="35"/>
  <c r="V215" i="35"/>
  <c r="F35" i="36"/>
  <c r="W132" i="35"/>
  <c r="U188" i="35"/>
  <c r="W131" i="35" l="1"/>
  <c r="U84" i="35"/>
  <c r="U80" i="35" s="1"/>
  <c r="U63" i="35" s="1"/>
  <c r="V63" i="35"/>
  <c r="V32" i="35"/>
  <c r="S120" i="35"/>
  <c r="S119" i="35"/>
  <c r="S93" i="35"/>
  <c r="S94" i="35"/>
  <c r="S95" i="35"/>
  <c r="S96" i="35"/>
  <c r="S97" i="35"/>
  <c r="S98" i="35"/>
  <c r="S99" i="35"/>
  <c r="S100" i="35"/>
  <c r="S101" i="35"/>
  <c r="S102" i="35"/>
  <c r="S92" i="35"/>
  <c r="S83" i="35"/>
  <c r="S82" i="35"/>
  <c r="S72" i="35"/>
  <c r="S70" i="35"/>
  <c r="S69" i="35"/>
  <c r="I32" i="35" l="1"/>
  <c r="S32" i="35"/>
  <c r="S40" i="35"/>
  <c r="R40" i="35"/>
  <c r="F19" i="37" l="1"/>
  <c r="D11" i="37"/>
  <c r="F113" i="36"/>
  <c r="H113" i="36"/>
  <c r="K6" i="36"/>
  <c r="E9" i="36"/>
  <c r="H9" i="36"/>
  <c r="E12" i="36"/>
  <c r="H12" i="36"/>
  <c r="E24" i="36"/>
  <c r="F24" i="36"/>
  <c r="E20" i="37" s="1"/>
  <c r="F20" i="37" s="1"/>
  <c r="H24" i="36"/>
  <c r="E26" i="36"/>
  <c r="H26" i="36"/>
  <c r="E30" i="36"/>
  <c r="H30" i="36"/>
  <c r="F66" i="36"/>
  <c r="D25" i="36"/>
  <c r="D24" i="36" s="1"/>
  <c r="E191" i="36"/>
  <c r="E190" i="36" s="1"/>
  <c r="H191" i="36"/>
  <c r="F147" i="36"/>
  <c r="E140" i="36"/>
  <c r="H140" i="36"/>
  <c r="E87" i="36"/>
  <c r="F207" i="36"/>
  <c r="D207" i="36" s="1"/>
  <c r="F211" i="36"/>
  <c r="D211" i="36" s="1"/>
  <c r="D218" i="36"/>
  <c r="F227" i="36"/>
  <c r="D227" i="36" s="1"/>
  <c r="F235" i="36"/>
  <c r="D235" i="36" s="1"/>
  <c r="E35" i="36"/>
  <c r="F9" i="39"/>
  <c r="F10" i="36" s="1"/>
  <c r="D87" i="39"/>
  <c r="F86" i="39"/>
  <c r="F85" i="39"/>
  <c r="F234" i="36" s="1"/>
  <c r="D234" i="36" s="1"/>
  <c r="E84" i="39"/>
  <c r="F83" i="39"/>
  <c r="F82" i="39" s="1"/>
  <c r="F231" i="36" s="1"/>
  <c r="D231" i="36" s="1"/>
  <c r="E82" i="39"/>
  <c r="D82" i="39"/>
  <c r="F81" i="39"/>
  <c r="F230" i="36" s="1"/>
  <c r="D230" i="36" s="1"/>
  <c r="F80" i="39"/>
  <c r="F229" i="36" s="1"/>
  <c r="D79" i="39"/>
  <c r="F79" i="39" s="1"/>
  <c r="F228" i="36" s="1"/>
  <c r="D228" i="36" s="1"/>
  <c r="D78" i="39"/>
  <c r="F78" i="39" s="1"/>
  <c r="E77" i="39"/>
  <c r="E75" i="39" s="1"/>
  <c r="D77" i="39"/>
  <c r="F76" i="39"/>
  <c r="F225" i="36" s="1"/>
  <c r="D225" i="36" s="1"/>
  <c r="E74" i="39"/>
  <c r="D74" i="39"/>
  <c r="D73" i="39"/>
  <c r="D72" i="39"/>
  <c r="D71" i="39"/>
  <c r="F71" i="39" s="1"/>
  <c r="F220" i="36" s="1"/>
  <c r="D220" i="36" s="1"/>
  <c r="D70" i="39"/>
  <c r="D67" i="39"/>
  <c r="F67" i="39" s="1"/>
  <c r="F216" i="36" s="1"/>
  <c r="D216" i="36" s="1"/>
  <c r="D66" i="39"/>
  <c r="D65" i="39"/>
  <c r="D64" i="39"/>
  <c r="F64" i="39" s="1"/>
  <c r="F213" i="36" s="1"/>
  <c r="D213" i="36" s="1"/>
  <c r="D63" i="39"/>
  <c r="F63" i="39" s="1"/>
  <c r="F212" i="36" s="1"/>
  <c r="D212" i="36" s="1"/>
  <c r="D62" i="39"/>
  <c r="F62" i="39" s="1"/>
  <c r="D61" i="39"/>
  <c r="D60" i="39"/>
  <c r="F60" i="39" s="1"/>
  <c r="F209" i="36" s="1"/>
  <c r="D209" i="36" s="1"/>
  <c r="D59" i="39"/>
  <c r="F59" i="39" s="1"/>
  <c r="F208" i="36" s="1"/>
  <c r="D208" i="36" s="1"/>
  <c r="D58" i="39"/>
  <c r="F58" i="39" s="1"/>
  <c r="D57" i="39"/>
  <c r="E56" i="39"/>
  <c r="D55" i="39"/>
  <c r="F55" i="39" s="1"/>
  <c r="F204" i="36" s="1"/>
  <c r="D204" i="36" s="1"/>
  <c r="E45" i="39"/>
  <c r="D54" i="39"/>
  <c r="D53" i="39"/>
  <c r="D52" i="39"/>
  <c r="D51" i="39"/>
  <c r="D50" i="39"/>
  <c r="D49" i="39"/>
  <c r="D48" i="39"/>
  <c r="D47" i="39"/>
  <c r="D46" i="39"/>
  <c r="D43" i="39"/>
  <c r="E42" i="39"/>
  <c r="D40" i="39"/>
  <c r="E39" i="39"/>
  <c r="D39" i="39"/>
  <c r="F37" i="39"/>
  <c r="F144" i="36" s="1"/>
  <c r="D144" i="36" s="1"/>
  <c r="F36" i="39"/>
  <c r="F143" i="36" s="1"/>
  <c r="F35" i="39"/>
  <c r="F142" i="36" s="1"/>
  <c r="D142" i="36" s="1"/>
  <c r="F34" i="39"/>
  <c r="F141" i="36" s="1"/>
  <c r="D32" i="39"/>
  <c r="D31" i="39"/>
  <c r="D30" i="39"/>
  <c r="E29" i="39"/>
  <c r="F28" i="39"/>
  <c r="F29" i="36" s="1"/>
  <c r="D29" i="36" s="1"/>
  <c r="F27" i="39"/>
  <c r="F28" i="36" s="1"/>
  <c r="D26" i="39"/>
  <c r="F26" i="39" s="1"/>
  <c r="F27" i="36" s="1"/>
  <c r="E25" i="39"/>
  <c r="F24" i="39"/>
  <c r="F23" i="39" s="1"/>
  <c r="E23" i="39"/>
  <c r="D23" i="39"/>
  <c r="F22" i="39"/>
  <c r="F23" i="36" s="1"/>
  <c r="F21" i="39"/>
  <c r="F22" i="36" s="1"/>
  <c r="F20" i="39"/>
  <c r="F21" i="36" s="1"/>
  <c r="D21" i="36" s="1"/>
  <c r="F19" i="39"/>
  <c r="F20" i="36" s="1"/>
  <c r="F18" i="39"/>
  <c r="F19" i="36" s="1"/>
  <c r="F17" i="39"/>
  <c r="F18" i="36" s="1"/>
  <c r="F16" i="39"/>
  <c r="F17" i="36" s="1"/>
  <c r="F15" i="39"/>
  <c r="F16" i="36" s="1"/>
  <c r="F14" i="39"/>
  <c r="F15" i="36" s="1"/>
  <c r="F13" i="39"/>
  <c r="F14" i="36" s="1"/>
  <c r="D14" i="36" s="1"/>
  <c r="F12" i="39"/>
  <c r="F13" i="36" s="1"/>
  <c r="E11" i="39"/>
  <c r="D11" i="39"/>
  <c r="F10" i="39"/>
  <c r="F11" i="36" s="1"/>
  <c r="E8" i="39"/>
  <c r="D8" i="39"/>
  <c r="F34" i="36" l="1"/>
  <c r="E8" i="36"/>
  <c r="H8" i="36"/>
  <c r="D16" i="36"/>
  <c r="D22" i="36"/>
  <c r="D229" i="36"/>
  <c r="E17" i="37"/>
  <c r="F17" i="37" s="1"/>
  <c r="D11" i="36"/>
  <c r="D18" i="36"/>
  <c r="D15" i="36"/>
  <c r="E36" i="37"/>
  <c r="D19" i="36"/>
  <c r="D23" i="36"/>
  <c r="D141" i="36"/>
  <c r="E12" i="37"/>
  <c r="F12" i="37" s="1"/>
  <c r="C12" i="37" s="1"/>
  <c r="D10" i="36"/>
  <c r="F9" i="36"/>
  <c r="D20" i="36"/>
  <c r="F26" i="36"/>
  <c r="E21" i="37"/>
  <c r="F21" i="37" s="1"/>
  <c r="D13" i="36"/>
  <c r="F12" i="36"/>
  <c r="D17" i="36"/>
  <c r="D28" i="36"/>
  <c r="D143" i="36"/>
  <c r="E14" i="37"/>
  <c r="F14" i="37" s="1"/>
  <c r="F232" i="36"/>
  <c r="D27" i="36"/>
  <c r="E7" i="39"/>
  <c r="D84" i="39"/>
  <c r="F74" i="39"/>
  <c r="F223" i="36" s="1"/>
  <c r="D223" i="36" s="1"/>
  <c r="F31" i="39"/>
  <c r="F32" i="36" s="1"/>
  <c r="D32" i="36" s="1"/>
  <c r="E38" i="39"/>
  <c r="E33" i="39" s="1"/>
  <c r="F30" i="39"/>
  <c r="F31" i="36" s="1"/>
  <c r="F66" i="39"/>
  <c r="F215" i="36" s="1"/>
  <c r="D215" i="36" s="1"/>
  <c r="F73" i="39"/>
  <c r="F222" i="36" s="1"/>
  <c r="D222" i="36" s="1"/>
  <c r="F87" i="39"/>
  <c r="F72" i="39"/>
  <c r="F221" i="36" s="1"/>
  <c r="D221" i="36" s="1"/>
  <c r="D75" i="39"/>
  <c r="F32" i="39"/>
  <c r="F33" i="36" s="1"/>
  <c r="D33" i="36" s="1"/>
  <c r="D42" i="39"/>
  <c r="F43" i="39"/>
  <c r="D56" i="39"/>
  <c r="F57" i="39"/>
  <c r="F206" i="36" s="1"/>
  <c r="D206" i="36" s="1"/>
  <c r="F61" i="39"/>
  <c r="F210" i="36" s="1"/>
  <c r="D210" i="36" s="1"/>
  <c r="F65" i="39"/>
  <c r="F214" i="36" s="1"/>
  <c r="D214" i="36" s="1"/>
  <c r="F25" i="39"/>
  <c r="D25" i="39"/>
  <c r="F47" i="39"/>
  <c r="F196" i="36" s="1"/>
  <c r="D196" i="36" s="1"/>
  <c r="F11" i="39"/>
  <c r="F8" i="39"/>
  <c r="F39" i="39"/>
  <c r="F145" i="36" s="1"/>
  <c r="D145" i="36" s="1"/>
  <c r="D38" i="39"/>
  <c r="D33" i="39" s="1"/>
  <c r="F40" i="39"/>
  <c r="F146" i="36" s="1"/>
  <c r="D146" i="36" s="1"/>
  <c r="E44" i="39"/>
  <c r="F49" i="39"/>
  <c r="F198" i="36" s="1"/>
  <c r="D198" i="36" s="1"/>
  <c r="F53" i="39"/>
  <c r="F202" i="36" s="1"/>
  <c r="D202" i="36" s="1"/>
  <c r="F77" i="39"/>
  <c r="D45" i="39"/>
  <c r="F46" i="39"/>
  <c r="F195" i="36" s="1"/>
  <c r="D195" i="36" s="1"/>
  <c r="F50" i="39"/>
  <c r="F199" i="36" s="1"/>
  <c r="D199" i="36" s="1"/>
  <c r="F54" i="39"/>
  <c r="F203" i="36" s="1"/>
  <c r="D203" i="36" s="1"/>
  <c r="F70" i="39"/>
  <c r="F219" i="36" s="1"/>
  <c r="D219" i="36" s="1"/>
  <c r="D68" i="39"/>
  <c r="F51" i="39"/>
  <c r="F200" i="36" s="1"/>
  <c r="D200" i="36" s="1"/>
  <c r="F48" i="39"/>
  <c r="F197" i="36" s="1"/>
  <c r="D197" i="36" s="1"/>
  <c r="F52" i="39"/>
  <c r="F201" i="36" s="1"/>
  <c r="D201" i="36" s="1"/>
  <c r="E68" i="39"/>
  <c r="D29" i="39"/>
  <c r="D9" i="36" l="1"/>
  <c r="D26" i="36"/>
  <c r="D140" i="36"/>
  <c r="D12" i="36"/>
  <c r="F75" i="39"/>
  <c r="F224" i="36" s="1"/>
  <c r="D224" i="36" s="1"/>
  <c r="F226" i="36"/>
  <c r="D226" i="36" s="1"/>
  <c r="F42" i="39"/>
  <c r="F192" i="36"/>
  <c r="D31" i="36"/>
  <c r="F30" i="36"/>
  <c r="E26" i="37"/>
  <c r="E35" i="37"/>
  <c r="E29" i="37"/>
  <c r="E34" i="37"/>
  <c r="D232" i="36"/>
  <c r="E18" i="37"/>
  <c r="F18" i="37" s="1"/>
  <c r="E28" i="37"/>
  <c r="E33" i="37"/>
  <c r="E32" i="37"/>
  <c r="E31" i="37"/>
  <c r="E30" i="37"/>
  <c r="F84" i="39"/>
  <c r="F233" i="36" s="1"/>
  <c r="D233" i="36" s="1"/>
  <c r="F236" i="36"/>
  <c r="F140" i="36"/>
  <c r="F139" i="36" s="1"/>
  <c r="E27" i="37"/>
  <c r="F7" i="36"/>
  <c r="E41" i="39"/>
  <c r="E6" i="39" s="1"/>
  <c r="D7" i="39"/>
  <c r="D44" i="39"/>
  <c r="D41" i="39" s="1"/>
  <c r="F29" i="39"/>
  <c r="F7" i="39" s="1"/>
  <c r="F56" i="39"/>
  <c r="F205" i="36" s="1"/>
  <c r="D205" i="36" s="1"/>
  <c r="F45" i="39"/>
  <c r="F194" i="36" s="1"/>
  <c r="D194" i="36" s="1"/>
  <c r="F68" i="39"/>
  <c r="F217" i="36" s="1"/>
  <c r="D217" i="36" s="1"/>
  <c r="F38" i="39"/>
  <c r="F33" i="39" s="1"/>
  <c r="D30" i="36" l="1"/>
  <c r="D8" i="36"/>
  <c r="E13" i="37"/>
  <c r="F13" i="37" s="1"/>
  <c r="D192" i="36"/>
  <c r="D191" i="36" s="1"/>
  <c r="E16" i="37"/>
  <c r="F16" i="37" s="1"/>
  <c r="F191" i="36"/>
  <c r="D236" i="36"/>
  <c r="E22" i="37"/>
  <c r="E25" i="37"/>
  <c r="D6" i="39"/>
  <c r="F44" i="39"/>
  <c r="F41" i="39" l="1"/>
  <c r="F6" i="39" s="1"/>
  <c r="F193" i="36"/>
  <c r="D193" i="36" s="1"/>
  <c r="D190" i="36" s="1"/>
  <c r="E11" i="37"/>
  <c r="E10" i="37" s="1"/>
  <c r="X116" i="35"/>
  <c r="X122" i="35"/>
  <c r="X123" i="35"/>
  <c r="X124" i="35"/>
  <c r="X125" i="35"/>
  <c r="X126" i="35"/>
  <c r="X127" i="35"/>
  <c r="X129" i="35"/>
  <c r="X108" i="35"/>
  <c r="X109" i="35"/>
  <c r="X110" i="35"/>
  <c r="X111" i="35"/>
  <c r="X112" i="35"/>
  <c r="X113" i="35"/>
  <c r="X107" i="35"/>
  <c r="Y131" i="35"/>
  <c r="V149" i="35"/>
  <c r="W149" i="35"/>
  <c r="V174" i="35"/>
  <c r="V173" i="35" s="1"/>
  <c r="Y174" i="35"/>
  <c r="Y173" i="35" s="1"/>
  <c r="T174" i="35"/>
  <c r="U218" i="35"/>
  <c r="U219" i="35"/>
  <c r="U220" i="35"/>
  <c r="U221" i="35"/>
  <c r="U222" i="35"/>
  <c r="U223" i="35"/>
  <c r="U224" i="35"/>
  <c r="U225" i="35"/>
  <c r="U226" i="35"/>
  <c r="U227" i="35"/>
  <c r="U228" i="35"/>
  <c r="U229" i="35"/>
  <c r="U230" i="35"/>
  <c r="U231" i="35"/>
  <c r="U232" i="35"/>
  <c r="U233" i="35"/>
  <c r="U234" i="35"/>
  <c r="U235" i="35"/>
  <c r="U236" i="35"/>
  <c r="U217" i="35"/>
  <c r="U177" i="35"/>
  <c r="U178" i="35"/>
  <c r="U179" i="35"/>
  <c r="H15" i="37" s="1"/>
  <c r="U180" i="35"/>
  <c r="U182" i="35"/>
  <c r="U183" i="35"/>
  <c r="U185" i="35"/>
  <c r="U189" i="35"/>
  <c r="U190" i="35"/>
  <c r="U191" i="35"/>
  <c r="U192" i="35"/>
  <c r="U193" i="35"/>
  <c r="U194" i="35"/>
  <c r="U195" i="35"/>
  <c r="U196" i="35"/>
  <c r="U197" i="35"/>
  <c r="U198" i="35"/>
  <c r="U199" i="35"/>
  <c r="U200" i="35"/>
  <c r="U201" i="35"/>
  <c r="U202" i="35"/>
  <c r="U203" i="35"/>
  <c r="U204" i="35"/>
  <c r="U205" i="35"/>
  <c r="U206" i="35"/>
  <c r="U207" i="35"/>
  <c r="U208" i="35"/>
  <c r="U209" i="35"/>
  <c r="U210" i="35"/>
  <c r="U211" i="35"/>
  <c r="U212" i="35"/>
  <c r="U213" i="35"/>
  <c r="U214" i="35"/>
  <c r="U135" i="35"/>
  <c r="U136" i="35"/>
  <c r="U137" i="35"/>
  <c r="U139" i="35"/>
  <c r="U140" i="35"/>
  <c r="U141" i="35"/>
  <c r="U142" i="35"/>
  <c r="U143" i="35"/>
  <c r="U144" i="35"/>
  <c r="U145" i="35"/>
  <c r="U146" i="35"/>
  <c r="U147" i="35"/>
  <c r="U148" i="35"/>
  <c r="U150" i="35"/>
  <c r="U151" i="35"/>
  <c r="U152" i="35"/>
  <c r="U153" i="35"/>
  <c r="U154" i="35"/>
  <c r="U155" i="35"/>
  <c r="U156" i="35"/>
  <c r="U157" i="35"/>
  <c r="U158" i="35"/>
  <c r="U159" i="35"/>
  <c r="U162" i="35"/>
  <c r="U163" i="35"/>
  <c r="U164" i="35"/>
  <c r="U165" i="35"/>
  <c r="U166" i="35"/>
  <c r="U167" i="35"/>
  <c r="U168" i="35"/>
  <c r="U169" i="35"/>
  <c r="U170" i="35"/>
  <c r="U171" i="35"/>
  <c r="U172" i="35"/>
  <c r="U133" i="35"/>
  <c r="U184" i="35"/>
  <c r="C13" i="37"/>
  <c r="C14" i="37"/>
  <c r="C16" i="37"/>
  <c r="C17" i="37"/>
  <c r="C18" i="37"/>
  <c r="C19" i="37"/>
  <c r="C20" i="37"/>
  <c r="C21" i="37"/>
  <c r="C23" i="37"/>
  <c r="C24" i="37"/>
  <c r="C37" i="37"/>
  <c r="T173" i="35"/>
  <c r="U174" i="35" l="1"/>
  <c r="X174" i="35" s="1"/>
  <c r="F190" i="36"/>
  <c r="F189" i="36" s="1"/>
  <c r="F6" i="36" s="1"/>
  <c r="Y130" i="35"/>
  <c r="W130" i="35"/>
  <c r="S131" i="35" l="1"/>
  <c r="S130" i="35" s="1"/>
  <c r="R173" i="35"/>
  <c r="F24" i="38"/>
  <c r="G24" i="38"/>
  <c r="H64" i="38"/>
  <c r="T189" i="35"/>
  <c r="R189" i="35" s="1"/>
  <c r="X189" i="35" s="1"/>
  <c r="S64" i="35"/>
  <c r="R69" i="35"/>
  <c r="R70" i="35"/>
  <c r="R47" i="35"/>
  <c r="R48" i="35"/>
  <c r="R49" i="35"/>
  <c r="R50" i="35"/>
  <c r="R51" i="35"/>
  <c r="R52" i="35"/>
  <c r="R53" i="35"/>
  <c r="R54" i="35"/>
  <c r="R55" i="35"/>
  <c r="R56" i="35"/>
  <c r="R57" i="35"/>
  <c r="R58" i="35"/>
  <c r="R59" i="35"/>
  <c r="R60" i="35"/>
  <c r="R61" i="35"/>
  <c r="R42" i="35"/>
  <c r="R44" i="35"/>
  <c r="R46" i="35"/>
  <c r="R41" i="35"/>
  <c r="R35" i="35"/>
  <c r="R36" i="35"/>
  <c r="R37" i="35"/>
  <c r="R38" i="35"/>
  <c r="R39" i="35"/>
  <c r="R34" i="35"/>
  <c r="R14" i="35"/>
  <c r="R15" i="35"/>
  <c r="R16" i="35"/>
  <c r="R17" i="35"/>
  <c r="R18" i="35"/>
  <c r="R19" i="35"/>
  <c r="R20" i="35"/>
  <c r="R21" i="35"/>
  <c r="R22" i="35"/>
  <c r="R23" i="35"/>
  <c r="R24" i="35"/>
  <c r="R25" i="35"/>
  <c r="R26" i="35"/>
  <c r="R27" i="35"/>
  <c r="R28" i="35"/>
  <c r="R29" i="35"/>
  <c r="R30" i="35"/>
  <c r="R31" i="35"/>
  <c r="R13" i="35"/>
  <c r="S128" i="35"/>
  <c r="S121" i="35"/>
  <c r="S115" i="35"/>
  <c r="S106" i="35"/>
  <c r="S103" i="35"/>
  <c r="S87" i="35"/>
  <c r="S86" i="35"/>
  <c r="S84" i="35" s="1"/>
  <c r="S71" i="35"/>
  <c r="S45" i="35"/>
  <c r="R45" i="35" s="1"/>
  <c r="S43" i="35"/>
  <c r="S12" i="35"/>
  <c r="G82" i="38"/>
  <c r="G47" i="38"/>
  <c r="G23" i="38"/>
  <c r="G21" i="38"/>
  <c r="H21" i="38" s="1"/>
  <c r="T146" i="35" s="1"/>
  <c r="G20" i="38"/>
  <c r="H20" i="38" s="1"/>
  <c r="T145" i="35" s="1"/>
  <c r="G19" i="38"/>
  <c r="H19" i="38" s="1"/>
  <c r="T144" i="35" s="1"/>
  <c r="G17" i="38"/>
  <c r="G15" i="38"/>
  <c r="H8" i="38"/>
  <c r="T133" i="35" s="1"/>
  <c r="H111" i="38"/>
  <c r="T236" i="35" s="1"/>
  <c r="R236" i="35" s="1"/>
  <c r="X236" i="35" s="1"/>
  <c r="H110" i="38"/>
  <c r="T235" i="35" s="1"/>
  <c r="R235" i="35" s="1"/>
  <c r="X235" i="35" s="1"/>
  <c r="H109" i="38"/>
  <c r="T234" i="35" s="1"/>
  <c r="R234" i="35" s="1"/>
  <c r="X234" i="35" s="1"/>
  <c r="H108" i="38"/>
  <c r="T233" i="35" s="1"/>
  <c r="R233" i="35" s="1"/>
  <c r="X233" i="35" s="1"/>
  <c r="H107" i="38"/>
  <c r="T232" i="35" s="1"/>
  <c r="R232" i="35" s="1"/>
  <c r="X232" i="35" s="1"/>
  <c r="H106" i="38"/>
  <c r="T231" i="35" s="1"/>
  <c r="R231" i="35" s="1"/>
  <c r="X231" i="35" s="1"/>
  <c r="H105" i="38"/>
  <c r="T230" i="35" s="1"/>
  <c r="R230" i="35" s="1"/>
  <c r="X230" i="35" s="1"/>
  <c r="H104" i="38"/>
  <c r="T229" i="35" s="1"/>
  <c r="R229" i="35" s="1"/>
  <c r="X229" i="35" s="1"/>
  <c r="H103" i="38"/>
  <c r="T228" i="35" s="1"/>
  <c r="R228" i="35" s="1"/>
  <c r="X228" i="35" s="1"/>
  <c r="H102" i="38"/>
  <c r="T227" i="35" s="1"/>
  <c r="R227" i="35" s="1"/>
  <c r="X227" i="35" s="1"/>
  <c r="H101" i="38"/>
  <c r="T226" i="35" s="1"/>
  <c r="R226" i="35" s="1"/>
  <c r="X226" i="35" s="1"/>
  <c r="H100" i="38"/>
  <c r="T225" i="35" s="1"/>
  <c r="R225" i="35" s="1"/>
  <c r="X225" i="35" s="1"/>
  <c r="H99" i="38"/>
  <c r="T224" i="35" s="1"/>
  <c r="R224" i="35" s="1"/>
  <c r="X224" i="35" s="1"/>
  <c r="H98" i="38"/>
  <c r="T223" i="35" s="1"/>
  <c r="R223" i="35" s="1"/>
  <c r="X223" i="35" s="1"/>
  <c r="H97" i="38"/>
  <c r="T222" i="35" s="1"/>
  <c r="R222" i="35" s="1"/>
  <c r="X222" i="35" s="1"/>
  <c r="H96" i="38"/>
  <c r="T221" i="35" s="1"/>
  <c r="R221" i="35" s="1"/>
  <c r="X221" i="35" s="1"/>
  <c r="H95" i="38"/>
  <c r="T220" i="35" s="1"/>
  <c r="R220" i="35" s="1"/>
  <c r="X220" i="35" s="1"/>
  <c r="H94" i="38"/>
  <c r="T219" i="35" s="1"/>
  <c r="R219" i="35" s="1"/>
  <c r="X219" i="35" s="1"/>
  <c r="H93" i="38"/>
  <c r="T218" i="35" s="1"/>
  <c r="R218" i="35" s="1"/>
  <c r="X218" i="35" s="1"/>
  <c r="H92" i="38"/>
  <c r="T217" i="35" s="1"/>
  <c r="G91" i="38"/>
  <c r="G90" i="38" s="1"/>
  <c r="F91" i="38"/>
  <c r="F90" i="38" s="1"/>
  <c r="H89" i="38"/>
  <c r="T214" i="35" s="1"/>
  <c r="R214" i="35" s="1"/>
  <c r="X214" i="35" s="1"/>
  <c r="H88" i="38"/>
  <c r="T213" i="35" s="1"/>
  <c r="R213" i="35" s="1"/>
  <c r="X213" i="35" s="1"/>
  <c r="H87" i="38"/>
  <c r="T212" i="35" s="1"/>
  <c r="R212" i="35" s="1"/>
  <c r="X212" i="35" s="1"/>
  <c r="H86" i="38"/>
  <c r="T211" i="35" s="1"/>
  <c r="R211" i="35" s="1"/>
  <c r="X211" i="35" s="1"/>
  <c r="H85" i="38"/>
  <c r="T210" i="35" s="1"/>
  <c r="R210" i="35" s="1"/>
  <c r="X210" i="35" s="1"/>
  <c r="H84" i="38"/>
  <c r="T209" i="35" s="1"/>
  <c r="R209" i="35" s="1"/>
  <c r="X209" i="35" s="1"/>
  <c r="H83" i="38"/>
  <c r="T208" i="35" s="1"/>
  <c r="R208" i="35" s="1"/>
  <c r="X208" i="35" s="1"/>
  <c r="H82" i="38"/>
  <c r="T207" i="35" s="1"/>
  <c r="R207" i="35" s="1"/>
  <c r="X207" i="35" s="1"/>
  <c r="H81" i="38"/>
  <c r="T206" i="35" s="1"/>
  <c r="R206" i="35" s="1"/>
  <c r="X206" i="35" s="1"/>
  <c r="H80" i="38"/>
  <c r="T205" i="35" s="1"/>
  <c r="R205" i="35" s="1"/>
  <c r="X205" i="35" s="1"/>
  <c r="H79" i="38"/>
  <c r="T204" i="35" s="1"/>
  <c r="F31" i="37" s="1"/>
  <c r="C31" i="37" s="1"/>
  <c r="H78" i="38"/>
  <c r="T203" i="35" s="1"/>
  <c r="R203" i="35" s="1"/>
  <c r="X203" i="35" s="1"/>
  <c r="H77" i="38"/>
  <c r="T202" i="35" s="1"/>
  <c r="R202" i="35" s="1"/>
  <c r="X202" i="35" s="1"/>
  <c r="H76" i="38"/>
  <c r="T201" i="35" s="1"/>
  <c r="R201" i="35" s="1"/>
  <c r="X201" i="35" s="1"/>
  <c r="H75" i="38"/>
  <c r="T200" i="35" s="1"/>
  <c r="R200" i="35" s="1"/>
  <c r="X200" i="35" s="1"/>
  <c r="H74" i="38"/>
  <c r="T199" i="35" s="1"/>
  <c r="R199" i="35" s="1"/>
  <c r="X199" i="35" s="1"/>
  <c r="H73" i="38"/>
  <c r="T198" i="35" s="1"/>
  <c r="R198" i="35" s="1"/>
  <c r="X198" i="35" s="1"/>
  <c r="H72" i="38"/>
  <c r="T197" i="35" s="1"/>
  <c r="R197" i="35" s="1"/>
  <c r="X197" i="35" s="1"/>
  <c r="H71" i="38"/>
  <c r="T196" i="35" s="1"/>
  <c r="R196" i="35" s="1"/>
  <c r="X196" i="35" s="1"/>
  <c r="H70" i="38"/>
  <c r="T195" i="35" s="1"/>
  <c r="R195" i="35" s="1"/>
  <c r="X195" i="35" s="1"/>
  <c r="H69" i="38"/>
  <c r="T194" i="35" s="1"/>
  <c r="R194" i="35" s="1"/>
  <c r="X194" i="35" s="1"/>
  <c r="H68" i="38"/>
  <c r="T193" i="35" s="1"/>
  <c r="R193" i="35" s="1"/>
  <c r="X193" i="35" s="1"/>
  <c r="H67" i="38"/>
  <c r="T192" i="35" s="1"/>
  <c r="R192" i="35" s="1"/>
  <c r="X192" i="35" s="1"/>
  <c r="H66" i="38"/>
  <c r="T191" i="35" s="1"/>
  <c r="R191" i="35" s="1"/>
  <c r="X191" i="35" s="1"/>
  <c r="H65" i="38"/>
  <c r="T190" i="35" s="1"/>
  <c r="R190" i="35" s="1"/>
  <c r="X190" i="35" s="1"/>
  <c r="H63" i="38"/>
  <c r="T188" i="35" s="1"/>
  <c r="R188" i="35" s="1"/>
  <c r="X188" i="35" s="1"/>
  <c r="H62" i="38"/>
  <c r="T187" i="35" s="1"/>
  <c r="R187" i="35" s="1"/>
  <c r="X187" i="35" s="1"/>
  <c r="H61" i="38"/>
  <c r="T186" i="35" s="1"/>
  <c r="R186" i="35" s="1"/>
  <c r="X186" i="35" s="1"/>
  <c r="H60" i="38"/>
  <c r="T185" i="35" s="1"/>
  <c r="R185" i="35" s="1"/>
  <c r="X185" i="35" s="1"/>
  <c r="H59" i="38"/>
  <c r="T184" i="35" s="1"/>
  <c r="R184" i="35" s="1"/>
  <c r="X184" i="35" s="1"/>
  <c r="H58" i="38"/>
  <c r="T183" i="35" s="1"/>
  <c r="R183" i="35" s="1"/>
  <c r="X183" i="35" s="1"/>
  <c r="H57" i="38"/>
  <c r="T182" i="35" s="1"/>
  <c r="R182" i="35" s="1"/>
  <c r="X182" i="35" s="1"/>
  <c r="H56" i="38"/>
  <c r="T181" i="35" s="1"/>
  <c r="R181" i="35" s="1"/>
  <c r="X181" i="35" s="1"/>
  <c r="H55" i="38"/>
  <c r="T180" i="35" s="1"/>
  <c r="R180" i="35" s="1"/>
  <c r="X180" i="35" s="1"/>
  <c r="H54" i="38"/>
  <c r="T179" i="35" s="1"/>
  <c r="R179" i="35" s="1"/>
  <c r="X179" i="35" s="1"/>
  <c r="H53" i="38"/>
  <c r="T178" i="35" s="1"/>
  <c r="R178" i="35" s="1"/>
  <c r="X178" i="35" s="1"/>
  <c r="H52" i="38"/>
  <c r="T177" i="35" s="1"/>
  <c r="R177" i="35" s="1"/>
  <c r="X177" i="35" s="1"/>
  <c r="H51" i="38"/>
  <c r="F50" i="38"/>
  <c r="F49" i="38" s="1"/>
  <c r="F48" i="38" s="1"/>
  <c r="H47" i="38"/>
  <c r="H46" i="38" s="1"/>
  <c r="T171" i="35" s="1"/>
  <c r="R171" i="35" s="1"/>
  <c r="X171" i="35" s="1"/>
  <c r="F46" i="38"/>
  <c r="H45" i="38"/>
  <c r="T170" i="35" s="1"/>
  <c r="R170" i="35" s="1"/>
  <c r="X170" i="35" s="1"/>
  <c r="H44" i="38"/>
  <c r="T169" i="35" s="1"/>
  <c r="R169" i="35" s="1"/>
  <c r="X169" i="35" s="1"/>
  <c r="H43" i="38"/>
  <c r="T168" i="35" s="1"/>
  <c r="R168" i="35" s="1"/>
  <c r="X168" i="35" s="1"/>
  <c r="H42" i="38"/>
  <c r="T167" i="35" s="1"/>
  <c r="R167" i="35" s="1"/>
  <c r="X167" i="35" s="1"/>
  <c r="H41" i="38"/>
  <c r="T166" i="35" s="1"/>
  <c r="R166" i="35" s="1"/>
  <c r="X166" i="35" s="1"/>
  <c r="H40" i="38"/>
  <c r="T165" i="35" s="1"/>
  <c r="R165" i="35" s="1"/>
  <c r="X165" i="35" s="1"/>
  <c r="H39" i="38"/>
  <c r="T164" i="35" s="1"/>
  <c r="R164" i="35" s="1"/>
  <c r="X164" i="35" s="1"/>
  <c r="H38" i="38"/>
  <c r="T163" i="35" s="1"/>
  <c r="R163" i="35" s="1"/>
  <c r="X163" i="35" s="1"/>
  <c r="H37" i="38"/>
  <c r="T162" i="35" s="1"/>
  <c r="R162" i="35" s="1"/>
  <c r="G36" i="38"/>
  <c r="G35" i="38" s="1"/>
  <c r="F36" i="38"/>
  <c r="F35" i="38" s="1"/>
  <c r="H34" i="38"/>
  <c r="H33" i="38"/>
  <c r="T158" i="35" s="1"/>
  <c r="R158" i="35" s="1"/>
  <c r="X158" i="35" s="1"/>
  <c r="H32" i="38"/>
  <c r="T157" i="35" s="1"/>
  <c r="R157" i="35" s="1"/>
  <c r="X157" i="35" s="1"/>
  <c r="H31" i="38"/>
  <c r="T156" i="35" s="1"/>
  <c r="R156" i="35" s="1"/>
  <c r="X156" i="35" s="1"/>
  <c r="H30" i="38"/>
  <c r="T155" i="35" s="1"/>
  <c r="R155" i="35" s="1"/>
  <c r="X155" i="35" s="1"/>
  <c r="H29" i="38"/>
  <c r="T154" i="35" s="1"/>
  <c r="R154" i="35" s="1"/>
  <c r="X154" i="35" s="1"/>
  <c r="H28" i="38"/>
  <c r="T153" i="35" s="1"/>
  <c r="R153" i="35" s="1"/>
  <c r="X153" i="35" s="1"/>
  <c r="H27" i="38"/>
  <c r="T152" i="35" s="1"/>
  <c r="R152" i="35" s="1"/>
  <c r="X152" i="35" s="1"/>
  <c r="H26" i="38"/>
  <c r="T151" i="35" s="1"/>
  <c r="R151" i="35" s="1"/>
  <c r="X151" i="35" s="1"/>
  <c r="H25" i="38"/>
  <c r="T150" i="35" s="1"/>
  <c r="H23" i="38"/>
  <c r="T148" i="35" s="1"/>
  <c r="F35" i="37" s="1"/>
  <c r="C35" i="37" s="1"/>
  <c r="H22" i="38"/>
  <c r="T147" i="35" s="1"/>
  <c r="H18" i="38"/>
  <c r="T143" i="35" s="1"/>
  <c r="H17" i="38"/>
  <c r="T142" i="35" s="1"/>
  <c r="H16" i="38"/>
  <c r="T141" i="35" s="1"/>
  <c r="F36" i="37" s="1"/>
  <c r="C36" i="37" s="1"/>
  <c r="H14" i="38"/>
  <c r="T139" i="35" s="1"/>
  <c r="F28" i="37" s="1"/>
  <c r="C28" i="37" s="1"/>
  <c r="F13" i="38"/>
  <c r="H12" i="38"/>
  <c r="T137" i="35" s="1"/>
  <c r="R137" i="35" s="1"/>
  <c r="X137" i="35" s="1"/>
  <c r="H11" i="38"/>
  <c r="T136" i="35" s="1"/>
  <c r="G10" i="38"/>
  <c r="F10" i="38"/>
  <c r="H9" i="38"/>
  <c r="T134" i="35" s="1"/>
  <c r="R134" i="35" s="1"/>
  <c r="G7" i="38"/>
  <c r="G6" i="38" s="1"/>
  <c r="F7" i="38"/>
  <c r="F6" i="38" s="1"/>
  <c r="F32" i="37" l="1"/>
  <c r="C32" i="37" s="1"/>
  <c r="F34" i="37"/>
  <c r="C34" i="37" s="1"/>
  <c r="F30" i="37"/>
  <c r="C30" i="37" s="1"/>
  <c r="T132" i="35"/>
  <c r="R132" i="35" s="1"/>
  <c r="F33" i="37"/>
  <c r="C33" i="37" s="1"/>
  <c r="F27" i="37"/>
  <c r="C27" i="37" s="1"/>
  <c r="F26" i="37"/>
  <c r="R33" i="35"/>
  <c r="U173" i="35"/>
  <c r="R136" i="35"/>
  <c r="X136" i="35" s="1"/>
  <c r="T135" i="35"/>
  <c r="R204" i="35"/>
  <c r="X204" i="35" s="1"/>
  <c r="R217" i="35"/>
  <c r="X217" i="35" s="1"/>
  <c r="T215" i="35"/>
  <c r="R215" i="35" s="1"/>
  <c r="R143" i="35"/>
  <c r="X143" i="35" s="1"/>
  <c r="R146" i="35"/>
  <c r="X146" i="35" s="1"/>
  <c r="R139" i="35"/>
  <c r="X139" i="35" s="1"/>
  <c r="R147" i="35"/>
  <c r="X147" i="35" s="1"/>
  <c r="R141" i="35"/>
  <c r="X141" i="35" s="1"/>
  <c r="R144" i="35"/>
  <c r="X144" i="35" s="1"/>
  <c r="R148" i="35"/>
  <c r="X148" i="35" s="1"/>
  <c r="R145" i="35"/>
  <c r="X145" i="35" s="1"/>
  <c r="R142" i="35"/>
  <c r="X142" i="35" s="1"/>
  <c r="S67" i="35"/>
  <c r="H24" i="38"/>
  <c r="H50" i="38"/>
  <c r="R150" i="35"/>
  <c r="X150" i="35" s="1"/>
  <c r="T159" i="35"/>
  <c r="R159" i="35" s="1"/>
  <c r="X159" i="35" s="1"/>
  <c r="T176" i="35"/>
  <c r="T172" i="35"/>
  <c r="R172" i="35" s="1"/>
  <c r="X172" i="35" s="1"/>
  <c r="S81" i="35"/>
  <c r="S80" i="35" s="1"/>
  <c r="S118" i="35"/>
  <c r="S117" i="35" s="1"/>
  <c r="S114" i="35" s="1"/>
  <c r="R43" i="35"/>
  <c r="R133" i="35"/>
  <c r="X133" i="35" s="1"/>
  <c r="G46" i="38"/>
  <c r="G50" i="38"/>
  <c r="G49" i="38" s="1"/>
  <c r="G48" i="38" s="1"/>
  <c r="H49" i="38"/>
  <c r="H7" i="38"/>
  <c r="H6" i="38" s="1"/>
  <c r="H10" i="38"/>
  <c r="F5" i="38"/>
  <c r="F4" i="38" s="1"/>
  <c r="H91" i="38"/>
  <c r="G13" i="38"/>
  <c r="H36" i="38"/>
  <c r="H15" i="38"/>
  <c r="C26" i="37" l="1"/>
  <c r="S63" i="35"/>
  <c r="S62" i="35" s="1"/>
  <c r="S11" i="35" s="1"/>
  <c r="S10" i="35" s="1"/>
  <c r="T149" i="35"/>
  <c r="R149" i="35" s="1"/>
  <c r="X149" i="35" s="1"/>
  <c r="X173" i="35"/>
  <c r="R135" i="35"/>
  <c r="X135" i="35" s="1"/>
  <c r="R176" i="35"/>
  <c r="X176" i="35" s="1"/>
  <c r="T175" i="35"/>
  <c r="R175" i="35" s="1"/>
  <c r="X175" i="35" s="1"/>
  <c r="H90" i="38"/>
  <c r="T216" i="35"/>
  <c r="R216" i="35" s="1"/>
  <c r="X216" i="35" s="1"/>
  <c r="H13" i="38"/>
  <c r="R138" i="35" s="1"/>
  <c r="X138" i="35" s="1"/>
  <c r="T140" i="35"/>
  <c r="F29" i="37" s="1"/>
  <c r="C29" i="37" s="1"/>
  <c r="H48" i="38"/>
  <c r="R174" i="35"/>
  <c r="H35" i="38"/>
  <c r="R160" i="35" s="1"/>
  <c r="F22" i="37"/>
  <c r="G5" i="38"/>
  <c r="G4" i="38" s="1"/>
  <c r="H5" i="38"/>
  <c r="C22" i="37" l="1"/>
  <c r="F25" i="37"/>
  <c r="F15" i="37"/>
  <c r="C15" i="37" s="1"/>
  <c r="T131" i="35"/>
  <c r="T130" i="35" s="1"/>
  <c r="R161" i="35"/>
  <c r="R140" i="35"/>
  <c r="X140" i="35" s="1"/>
  <c r="R131" i="35"/>
  <c r="H4" i="38"/>
  <c r="I4" i="38" s="1"/>
  <c r="C11" i="37" l="1"/>
  <c r="F11" i="37"/>
  <c r="F10" i="37" s="1"/>
  <c r="R130" i="35"/>
  <c r="R10" i="35" s="1"/>
  <c r="D25" i="37" l="1"/>
  <c r="D10" i="37" l="1"/>
  <c r="C25" i="37"/>
  <c r="C10" i="37" s="1"/>
  <c r="O27" i="37"/>
  <c r="L25" i="37" l="1"/>
  <c r="M25" i="37"/>
  <c r="O25" i="37"/>
  <c r="P25" i="37"/>
  <c r="S25" i="37"/>
  <c r="R31" i="37" l="1"/>
  <c r="R28" i="37"/>
  <c r="R25" i="37" l="1"/>
  <c r="Q28" i="37"/>
  <c r="H28" i="37"/>
  <c r="J37" i="37"/>
  <c r="H27" i="37"/>
  <c r="I27" i="37"/>
  <c r="G27" i="37" s="1"/>
  <c r="I28" i="37"/>
  <c r="H29" i="37"/>
  <c r="I29" i="37"/>
  <c r="H30" i="37"/>
  <c r="I30" i="37"/>
  <c r="H31" i="37"/>
  <c r="I31" i="37"/>
  <c r="H32" i="37"/>
  <c r="I32" i="37"/>
  <c r="I33" i="37"/>
  <c r="H34" i="37"/>
  <c r="I34" i="37"/>
  <c r="H35" i="37"/>
  <c r="I35" i="37"/>
  <c r="G35" i="37" s="1"/>
  <c r="J35" i="37" s="1"/>
  <c r="H36" i="37"/>
  <c r="I36" i="37"/>
  <c r="H13" i="37"/>
  <c r="I13" i="37"/>
  <c r="G13" i="37" s="1"/>
  <c r="J13" i="37" s="1"/>
  <c r="H14" i="37"/>
  <c r="I14" i="37"/>
  <c r="I15" i="37"/>
  <c r="H16" i="37"/>
  <c r="I16" i="37"/>
  <c r="H17" i="37"/>
  <c r="I17" i="37"/>
  <c r="H18" i="37"/>
  <c r="I18" i="37"/>
  <c r="H19" i="37"/>
  <c r="I19" i="37"/>
  <c r="H20" i="37"/>
  <c r="I20" i="37"/>
  <c r="H21" i="37"/>
  <c r="I21" i="37"/>
  <c r="I22" i="37"/>
  <c r="H23" i="37"/>
  <c r="I23" i="37"/>
  <c r="H24" i="37"/>
  <c r="I24" i="37"/>
  <c r="I26" i="37"/>
  <c r="H26" i="37"/>
  <c r="I12" i="37"/>
  <c r="H12" i="37"/>
  <c r="Q30" i="35"/>
  <c r="M30" i="35"/>
  <c r="I30" i="35"/>
  <c r="K13" i="37"/>
  <c r="K14" i="37"/>
  <c r="K15" i="37"/>
  <c r="K16" i="37"/>
  <c r="K17" i="37"/>
  <c r="K18" i="37"/>
  <c r="K19" i="37"/>
  <c r="K20" i="37"/>
  <c r="K21" i="37"/>
  <c r="K22" i="37"/>
  <c r="K23" i="37"/>
  <c r="K24" i="37"/>
  <c r="K26" i="37"/>
  <c r="K27" i="37"/>
  <c r="K28" i="37"/>
  <c r="K29" i="37"/>
  <c r="K30" i="37"/>
  <c r="K31" i="37"/>
  <c r="K32" i="37"/>
  <c r="K33" i="37"/>
  <c r="K34" i="37"/>
  <c r="K35" i="37"/>
  <c r="K36" i="37"/>
  <c r="K12" i="37"/>
  <c r="Q13" i="37"/>
  <c r="Q14" i="37"/>
  <c r="Q16" i="37"/>
  <c r="Q17" i="37"/>
  <c r="Q18" i="37"/>
  <c r="Q19" i="37"/>
  <c r="Q20" i="37"/>
  <c r="Q21" i="37"/>
  <c r="Q22" i="37"/>
  <c r="Q23" i="37"/>
  <c r="Q24" i="37"/>
  <c r="Q26" i="37"/>
  <c r="Q27" i="37"/>
  <c r="Q29" i="37"/>
  <c r="Q30" i="37"/>
  <c r="Q31" i="37"/>
  <c r="Q32" i="37"/>
  <c r="Q33" i="37"/>
  <c r="Q34" i="37"/>
  <c r="Q35" i="37"/>
  <c r="Q36" i="37"/>
  <c r="Q12" i="37"/>
  <c r="N13" i="37"/>
  <c r="N14" i="37"/>
  <c r="N16" i="37"/>
  <c r="N17" i="37"/>
  <c r="N18" i="37"/>
  <c r="N19" i="37"/>
  <c r="N20" i="37"/>
  <c r="N21" i="37"/>
  <c r="N22" i="37"/>
  <c r="N23" i="37"/>
  <c r="N24" i="37"/>
  <c r="N26" i="37"/>
  <c r="N27" i="37"/>
  <c r="N28" i="37"/>
  <c r="N29" i="37"/>
  <c r="N30" i="37"/>
  <c r="N31" i="37"/>
  <c r="N32" i="37"/>
  <c r="N33" i="37"/>
  <c r="N34" i="37"/>
  <c r="N35" i="37"/>
  <c r="N36" i="37"/>
  <c r="N12" i="37"/>
  <c r="G30" i="37" l="1"/>
  <c r="J30" i="37" s="1"/>
  <c r="G32" i="37"/>
  <c r="J32" i="37" s="1"/>
  <c r="G12" i="37"/>
  <c r="J12" i="37" s="1"/>
  <c r="G24" i="37"/>
  <c r="J24" i="37" s="1"/>
  <c r="G18" i="37"/>
  <c r="J18" i="37" s="1"/>
  <c r="G14" i="37"/>
  <c r="J14" i="37" s="1"/>
  <c r="G34" i="37"/>
  <c r="J34" i="37" s="1"/>
  <c r="G36" i="37"/>
  <c r="J36" i="37" s="1"/>
  <c r="I25" i="37"/>
  <c r="G16" i="37"/>
  <c r="J16" i="37" s="1"/>
  <c r="J22" i="37"/>
  <c r="G23" i="37"/>
  <c r="J23" i="37" s="1"/>
  <c r="G19" i="37"/>
  <c r="J19" i="37" s="1"/>
  <c r="G20" i="37"/>
  <c r="J20" i="37" s="1"/>
  <c r="K25" i="37"/>
  <c r="G33" i="37"/>
  <c r="J33" i="37" s="1"/>
  <c r="G29" i="37"/>
  <c r="J29" i="37" s="1"/>
  <c r="G28" i="37"/>
  <c r="J28" i="37" s="1"/>
  <c r="G21" i="37"/>
  <c r="J21" i="37" s="1"/>
  <c r="G17" i="37"/>
  <c r="J17" i="37" s="1"/>
  <c r="N25" i="37"/>
  <c r="G26" i="37"/>
  <c r="J26" i="37" s="1"/>
  <c r="Q25" i="37"/>
  <c r="J27" i="37"/>
  <c r="G31" i="37"/>
  <c r="J31" i="37" s="1"/>
  <c r="D301" i="36"/>
  <c r="E282" i="36"/>
  <c r="E72" i="36"/>
  <c r="E100" i="36"/>
  <c r="D151" i="36"/>
  <c r="H279" i="36"/>
  <c r="H237" i="36" s="1"/>
  <c r="E280" i="36"/>
  <c r="D297" i="36"/>
  <c r="D296" i="36" s="1"/>
  <c r="E296" i="36"/>
  <c r="D284" i="36"/>
  <c r="D283" i="36"/>
  <c r="D281" i="36"/>
  <c r="D280" i="36" s="1"/>
  <c r="E267" i="36"/>
  <c r="E254" i="36"/>
  <c r="D254" i="36" s="1"/>
  <c r="E126" i="36"/>
  <c r="E113" i="36" s="1"/>
  <c r="Y12" i="35"/>
  <c r="X104" i="35"/>
  <c r="E86" i="36" l="1"/>
  <c r="D282" i="36"/>
  <c r="G25" i="37"/>
  <c r="J25" i="37" s="1"/>
  <c r="S11" i="37"/>
  <c r="M11" i="37"/>
  <c r="M10" i="37" s="1"/>
  <c r="L11" i="37"/>
  <c r="L10" i="37" s="1"/>
  <c r="S10" i="37" l="1"/>
  <c r="P11" i="37"/>
  <c r="P10" i="37" s="1"/>
  <c r="I11" i="37"/>
  <c r="I10" i="37" s="1"/>
  <c r="K11" i="37"/>
  <c r="K10" i="37" s="1"/>
  <c r="H25" i="37" l="1"/>
  <c r="X39" i="35" l="1"/>
  <c r="X41" i="35"/>
  <c r="X105" i="35" l="1"/>
  <c r="E172" i="36"/>
  <c r="D162" i="36"/>
  <c r="D163" i="36"/>
  <c r="D164" i="36"/>
  <c r="D165" i="36"/>
  <c r="D166" i="36"/>
  <c r="D167" i="36"/>
  <c r="D168" i="36"/>
  <c r="D169" i="36"/>
  <c r="D170" i="36"/>
  <c r="D171" i="36"/>
  <c r="D173" i="36"/>
  <c r="D174" i="36"/>
  <c r="D175" i="36"/>
  <c r="D176" i="36"/>
  <c r="D177" i="36"/>
  <c r="D178" i="36"/>
  <c r="D179" i="36"/>
  <c r="D180" i="36"/>
  <c r="D181" i="36"/>
  <c r="D182" i="36"/>
  <c r="D183" i="36"/>
  <c r="D185" i="36"/>
  <c r="D186" i="36"/>
  <c r="D188" i="36"/>
  <c r="D161" i="36"/>
  <c r="E187" i="36"/>
  <c r="E184" i="36" s="1"/>
  <c r="E158" i="36"/>
  <c r="E156" i="36"/>
  <c r="E154" i="36"/>
  <c r="D155" i="36"/>
  <c r="D154" i="36" s="1"/>
  <c r="E152" i="36"/>
  <c r="E150" i="36"/>
  <c r="D292" i="36"/>
  <c r="D290" i="36"/>
  <c r="D288" i="36"/>
  <c r="D287" i="36" s="1"/>
  <c r="D239" i="36"/>
  <c r="D150" i="36"/>
  <c r="D149" i="36"/>
  <c r="D148" i="36" s="1"/>
  <c r="E298" i="36"/>
  <c r="E294" i="36"/>
  <c r="E291" i="36"/>
  <c r="D291" i="36" s="1"/>
  <c r="E289" i="36"/>
  <c r="E287" i="36"/>
  <c r="E285" i="36"/>
  <c r="E279" i="36" s="1"/>
  <c r="E238" i="36"/>
  <c r="D269" i="36"/>
  <c r="D270" i="36"/>
  <c r="D271" i="36"/>
  <c r="D272" i="36"/>
  <c r="D273" i="36"/>
  <c r="D274" i="36"/>
  <c r="D275" i="36"/>
  <c r="D276" i="36"/>
  <c r="D277" i="36"/>
  <c r="D278" i="36"/>
  <c r="D268" i="36"/>
  <c r="D286" i="36"/>
  <c r="D285" i="36" s="1"/>
  <c r="D279" i="36" s="1"/>
  <c r="D299" i="36"/>
  <c r="D298" i="36" s="1"/>
  <c r="D295" i="36"/>
  <c r="D294" i="36" s="1"/>
  <c r="E300" i="36"/>
  <c r="E266" i="36"/>
  <c r="E293" i="36" l="1"/>
  <c r="D293" i="36"/>
  <c r="D160" i="36"/>
  <c r="N15" i="37"/>
  <c r="O11" i="37"/>
  <c r="O10" i="37" s="1"/>
  <c r="D267" i="36"/>
  <c r="D172" i="36"/>
  <c r="D187" i="36"/>
  <c r="D184" i="36" s="1"/>
  <c r="D266" i="36"/>
  <c r="D289" i="36"/>
  <c r="N11" i="37" l="1"/>
  <c r="N10" i="37" s="1"/>
  <c r="E265" i="36"/>
  <c r="D265" i="36" s="1"/>
  <c r="E264" i="36"/>
  <c r="D264" i="36" s="1"/>
  <c r="E263" i="36"/>
  <c r="D263" i="36" s="1"/>
  <c r="E262" i="36"/>
  <c r="D262" i="36" s="1"/>
  <c r="E261" i="36"/>
  <c r="D261" i="36" s="1"/>
  <c r="E260" i="36"/>
  <c r="D260" i="36" s="1"/>
  <c r="E259" i="36"/>
  <c r="D259" i="36" s="1"/>
  <c r="E258" i="36"/>
  <c r="D258" i="36" s="1"/>
  <c r="E257" i="36"/>
  <c r="D257" i="36" s="1"/>
  <c r="E256" i="36"/>
  <c r="D256" i="36" s="1"/>
  <c r="E255" i="36"/>
  <c r="E252" i="36"/>
  <c r="D252" i="36" s="1"/>
  <c r="E251" i="36"/>
  <c r="D251" i="36" s="1"/>
  <c r="E250" i="36"/>
  <c r="D250" i="36" s="1"/>
  <c r="E249" i="36"/>
  <c r="D249" i="36" s="1"/>
  <c r="E248" i="36"/>
  <c r="D248" i="36" s="1"/>
  <c r="E247" i="36"/>
  <c r="D247" i="36" s="1"/>
  <c r="E246" i="36"/>
  <c r="D246" i="36" s="1"/>
  <c r="E245" i="36"/>
  <c r="D245" i="36" s="1"/>
  <c r="E244" i="36"/>
  <c r="D244" i="36" s="1"/>
  <c r="E243" i="36"/>
  <c r="D243" i="36" s="1"/>
  <c r="E242" i="36"/>
  <c r="D302" i="36"/>
  <c r="H160" i="36"/>
  <c r="H147" i="36" s="1"/>
  <c r="H139" i="36" s="1"/>
  <c r="E160" i="36"/>
  <c r="E147" i="36" s="1"/>
  <c r="E139" i="36" s="1"/>
  <c r="E85" i="36"/>
  <c r="E84" i="36"/>
  <c r="E83" i="36"/>
  <c r="E82" i="36"/>
  <c r="E81" i="36"/>
  <c r="E80" i="36"/>
  <c r="E79" i="36"/>
  <c r="E78" i="36"/>
  <c r="E77" i="36"/>
  <c r="E76" i="36"/>
  <c r="E75" i="36"/>
  <c r="E67" i="36"/>
  <c r="D69" i="36"/>
  <c r="D68" i="36"/>
  <c r="E65" i="36"/>
  <c r="E64" i="36"/>
  <c r="E63" i="36"/>
  <c r="E62" i="36"/>
  <c r="E61" i="36"/>
  <c r="E60" i="36"/>
  <c r="E59" i="36"/>
  <c r="E58" i="36"/>
  <c r="E57" i="36"/>
  <c r="E56" i="36"/>
  <c r="E55" i="36"/>
  <c r="E51" i="36"/>
  <c r="E50" i="36"/>
  <c r="E49" i="36"/>
  <c r="E48" i="36"/>
  <c r="E47" i="36"/>
  <c r="E46" i="36"/>
  <c r="E45" i="36"/>
  <c r="E44" i="36"/>
  <c r="E43" i="36"/>
  <c r="E42" i="36"/>
  <c r="E41" i="36"/>
  <c r="K100" i="36"/>
  <c r="H100" i="36"/>
  <c r="H72" i="36"/>
  <c r="H66" i="36" s="1"/>
  <c r="E70" i="36"/>
  <c r="H34" i="36" l="1"/>
  <c r="H7" i="36" s="1"/>
  <c r="H6" i="36" s="1"/>
  <c r="E66" i="36"/>
  <c r="D67" i="36"/>
  <c r="E53" i="36"/>
  <c r="E74" i="36"/>
  <c r="D255" i="36"/>
  <c r="D253" i="36" s="1"/>
  <c r="E253" i="36"/>
  <c r="D242" i="36"/>
  <c r="D241" i="36" s="1"/>
  <c r="E241" i="36"/>
  <c r="D300" i="36"/>
  <c r="D238" i="36"/>
  <c r="E40" i="36"/>
  <c r="E240" i="36" l="1"/>
  <c r="E237" i="36" s="1"/>
  <c r="E189" i="36" s="1"/>
  <c r="D240" i="36"/>
  <c r="D237" i="36" s="1"/>
  <c r="D189" i="36" s="1"/>
  <c r="E52" i="36"/>
  <c r="E7" i="36" l="1"/>
  <c r="E6" i="36" s="1"/>
  <c r="X61" i="35"/>
  <c r="X65" i="35"/>
  <c r="X66" i="35"/>
  <c r="X68" i="35"/>
  <c r="X72" i="35"/>
  <c r="X73" i="35"/>
  <c r="X74" i="35"/>
  <c r="X75" i="35"/>
  <c r="X76" i="35"/>
  <c r="X77" i="35"/>
  <c r="X78" i="35"/>
  <c r="X79" i="35"/>
  <c r="X85" i="35"/>
  <c r="X88" i="35"/>
  <c r="Y63" i="35"/>
  <c r="Y62" i="35" s="1"/>
  <c r="X89" i="35"/>
  <c r="T87" i="35"/>
  <c r="V87" i="35"/>
  <c r="V62" i="35" s="1"/>
  <c r="W87" i="35"/>
  <c r="R87" i="35"/>
  <c r="X87" i="35" s="1"/>
  <c r="W11" i="35" l="1"/>
  <c r="W10" i="35" s="1"/>
  <c r="V11" i="35"/>
  <c r="Q129" i="35"/>
  <c r="Q128" i="35" s="1"/>
  <c r="R128" i="35"/>
  <c r="X128" i="35" s="1"/>
  <c r="P128" i="35"/>
  <c r="O128" i="35"/>
  <c r="N128" i="35"/>
  <c r="M128" i="35"/>
  <c r="L128" i="35"/>
  <c r="K128" i="35"/>
  <c r="J128" i="35"/>
  <c r="I128" i="35"/>
  <c r="R121" i="35"/>
  <c r="X121" i="35" s="1"/>
  <c r="Q121" i="35"/>
  <c r="P121" i="35"/>
  <c r="O121" i="35"/>
  <c r="N121" i="35"/>
  <c r="M121" i="35"/>
  <c r="L121" i="35"/>
  <c r="K121" i="35"/>
  <c r="J121" i="35"/>
  <c r="I121" i="35"/>
  <c r="R120" i="35"/>
  <c r="R119" i="35"/>
  <c r="X119" i="35" s="1"/>
  <c r="P118" i="35"/>
  <c r="O118" i="35"/>
  <c r="N118" i="35"/>
  <c r="M118" i="35"/>
  <c r="L118" i="35"/>
  <c r="K118" i="35"/>
  <c r="J118" i="35"/>
  <c r="I118" i="35"/>
  <c r="Q116" i="35"/>
  <c r="Q115" i="35" s="1"/>
  <c r="R115" i="35"/>
  <c r="X115" i="35" s="1"/>
  <c r="P115" i="35"/>
  <c r="O115" i="35"/>
  <c r="N115" i="35"/>
  <c r="M115" i="35"/>
  <c r="L115" i="35"/>
  <c r="K115" i="35"/>
  <c r="J115" i="35"/>
  <c r="I115" i="35"/>
  <c r="Q113" i="35"/>
  <c r="N113" i="35"/>
  <c r="M113" i="35"/>
  <c r="K113" i="35"/>
  <c r="J113" i="35"/>
  <c r="I113" i="35"/>
  <c r="Q112" i="35"/>
  <c r="N112" i="35"/>
  <c r="M112" i="35"/>
  <c r="L112" i="35"/>
  <c r="K112" i="35"/>
  <c r="J112" i="35"/>
  <c r="I112" i="35"/>
  <c r="Q111" i="35"/>
  <c r="N111" i="35"/>
  <c r="M111" i="35"/>
  <c r="L111" i="35"/>
  <c r="K111" i="35"/>
  <c r="J111" i="35"/>
  <c r="I111" i="35"/>
  <c r="Q110" i="35"/>
  <c r="N110" i="35"/>
  <c r="M110" i="35"/>
  <c r="L110" i="35"/>
  <c r="K110" i="35"/>
  <c r="J110" i="35"/>
  <c r="I110" i="35"/>
  <c r="Q109" i="35"/>
  <c r="N109" i="35"/>
  <c r="M109" i="35"/>
  <c r="K109" i="35"/>
  <c r="J109" i="35"/>
  <c r="I109" i="35"/>
  <c r="Q108" i="35"/>
  <c r="N108" i="35"/>
  <c r="M108" i="35"/>
  <c r="L108" i="35"/>
  <c r="K108" i="35"/>
  <c r="J108" i="35"/>
  <c r="I108" i="35"/>
  <c r="Q107" i="35"/>
  <c r="N107" i="35"/>
  <c r="M107" i="35"/>
  <c r="L107" i="35"/>
  <c r="K107" i="35"/>
  <c r="J107" i="35"/>
  <c r="I107" i="35"/>
  <c r="R106" i="35"/>
  <c r="P106" i="35"/>
  <c r="O106" i="35"/>
  <c r="Q105" i="35"/>
  <c r="Q104" i="35"/>
  <c r="R103" i="35"/>
  <c r="X103" i="35" s="1"/>
  <c r="P103" i="35"/>
  <c r="O103" i="35"/>
  <c r="N103" i="35"/>
  <c r="M103" i="35"/>
  <c r="L103" i="35"/>
  <c r="K103" i="35"/>
  <c r="J103" i="35"/>
  <c r="I103" i="35"/>
  <c r="R102" i="35"/>
  <c r="R101" i="35"/>
  <c r="R100" i="35"/>
  <c r="R99" i="35"/>
  <c r="R98" i="35"/>
  <c r="R97" i="35"/>
  <c r="R96" i="35"/>
  <c r="R95" i="35"/>
  <c r="R94" i="35"/>
  <c r="R93" i="35"/>
  <c r="R92" i="35"/>
  <c r="P91" i="35"/>
  <c r="O91" i="35"/>
  <c r="N91" i="35"/>
  <c r="M91" i="35"/>
  <c r="L91" i="35"/>
  <c r="K91" i="35"/>
  <c r="J91" i="35"/>
  <c r="I91" i="35"/>
  <c r="Q89" i="35"/>
  <c r="Q88" i="35"/>
  <c r="P87" i="35"/>
  <c r="O87" i="35"/>
  <c r="N87" i="35"/>
  <c r="M87" i="35"/>
  <c r="L87" i="35"/>
  <c r="K87" i="35"/>
  <c r="J87" i="35"/>
  <c r="I87" i="35"/>
  <c r="R86" i="35"/>
  <c r="Q85" i="35"/>
  <c r="P84" i="35"/>
  <c r="O84" i="35"/>
  <c r="N84" i="35"/>
  <c r="M84" i="35"/>
  <c r="L84" i="35"/>
  <c r="K84" i="35"/>
  <c r="J84" i="35"/>
  <c r="I84" i="35"/>
  <c r="R83" i="35"/>
  <c r="R82" i="35"/>
  <c r="X82" i="35" s="1"/>
  <c r="P81" i="35"/>
  <c r="O81" i="35"/>
  <c r="N81" i="35"/>
  <c r="M81" i="35"/>
  <c r="L81" i="35"/>
  <c r="K81" i="35"/>
  <c r="J81" i="35"/>
  <c r="I81" i="35"/>
  <c r="R71" i="35"/>
  <c r="X71" i="35" s="1"/>
  <c r="Q71" i="35"/>
  <c r="P71" i="35"/>
  <c r="O71" i="35"/>
  <c r="N71" i="35"/>
  <c r="M71" i="35"/>
  <c r="L71" i="35"/>
  <c r="K71" i="35"/>
  <c r="J71" i="35"/>
  <c r="I71" i="35"/>
  <c r="X69" i="35"/>
  <c r="P67" i="35"/>
  <c r="O67" i="35"/>
  <c r="N67" i="35"/>
  <c r="M67" i="35"/>
  <c r="L67" i="35"/>
  <c r="K67" i="35"/>
  <c r="J67" i="35"/>
  <c r="I67" i="35"/>
  <c r="R64" i="35"/>
  <c r="X64" i="35" s="1"/>
  <c r="Q64" i="35"/>
  <c r="P64" i="35"/>
  <c r="O64" i="35"/>
  <c r="N64" i="35"/>
  <c r="M64" i="35"/>
  <c r="L64" i="35"/>
  <c r="K64" i="35"/>
  <c r="J64" i="35"/>
  <c r="I64" i="35"/>
  <c r="Q55" i="35"/>
  <c r="Q45" i="35"/>
  <c r="Q43" i="35"/>
  <c r="P40" i="35"/>
  <c r="O40" i="35"/>
  <c r="N40" i="35"/>
  <c r="M40" i="35"/>
  <c r="L40" i="35"/>
  <c r="K40" i="35"/>
  <c r="J40" i="35"/>
  <c r="I40" i="35"/>
  <c r="Q39" i="35"/>
  <c r="P33" i="35"/>
  <c r="O33" i="35"/>
  <c r="N33" i="35"/>
  <c r="M33" i="35"/>
  <c r="L33" i="35"/>
  <c r="K33" i="35"/>
  <c r="J33" i="35"/>
  <c r="I33" i="35"/>
  <c r="Q31" i="35"/>
  <c r="M31" i="35"/>
  <c r="I31" i="35"/>
  <c r="Q29" i="35"/>
  <c r="M29" i="35"/>
  <c r="I29" i="35"/>
  <c r="Q28" i="35"/>
  <c r="M28" i="35"/>
  <c r="I28" i="35"/>
  <c r="Q27" i="35"/>
  <c r="M27" i="35"/>
  <c r="I27" i="35"/>
  <c r="Q26" i="35"/>
  <c r="M26" i="35"/>
  <c r="I26" i="35"/>
  <c r="Q25" i="35"/>
  <c r="M25" i="35"/>
  <c r="I25" i="35"/>
  <c r="Q24" i="35"/>
  <c r="M24" i="35"/>
  <c r="I24" i="35"/>
  <c r="Q23" i="35"/>
  <c r="M23" i="35"/>
  <c r="I23" i="35"/>
  <c r="Q22" i="35"/>
  <c r="M22" i="35"/>
  <c r="I22" i="35"/>
  <c r="Q21" i="35"/>
  <c r="M21" i="35"/>
  <c r="I21" i="35"/>
  <c r="Q20" i="35"/>
  <c r="M20" i="35"/>
  <c r="I20" i="35"/>
  <c r="Q19" i="35"/>
  <c r="M19" i="35"/>
  <c r="I19" i="35"/>
  <c r="Q18" i="35"/>
  <c r="M18" i="35"/>
  <c r="I18" i="35"/>
  <c r="Q17" i="35"/>
  <c r="M17" i="35"/>
  <c r="I17" i="35"/>
  <c r="Q16" i="35"/>
  <c r="M16" i="35"/>
  <c r="I16" i="35"/>
  <c r="Q15" i="35"/>
  <c r="M15" i="35"/>
  <c r="I15" i="35"/>
  <c r="Q14" i="35"/>
  <c r="M14" i="35"/>
  <c r="I14" i="35"/>
  <c r="Q13" i="35"/>
  <c r="M13" i="35"/>
  <c r="I13" i="35"/>
  <c r="T12" i="35"/>
  <c r="R12" i="35"/>
  <c r="P12" i="35"/>
  <c r="O12" i="35"/>
  <c r="N12" i="35"/>
  <c r="L12" i="35"/>
  <c r="K12" i="35"/>
  <c r="J12" i="35"/>
  <c r="Q120" i="35" l="1"/>
  <c r="X120" i="35"/>
  <c r="T11" i="35"/>
  <c r="T10" i="35" s="1"/>
  <c r="I117" i="35"/>
  <c r="I114" i="35" s="1"/>
  <c r="M117" i="35"/>
  <c r="M114" i="35" s="1"/>
  <c r="P117" i="35"/>
  <c r="P114" i="35" s="1"/>
  <c r="P80" i="35"/>
  <c r="P63" i="35" s="1"/>
  <c r="M80" i="35"/>
  <c r="M63" i="35" s="1"/>
  <c r="L117" i="35"/>
  <c r="L114" i="35" s="1"/>
  <c r="R118" i="35"/>
  <c r="X118" i="35" s="1"/>
  <c r="Q34" i="35"/>
  <c r="X34" i="35"/>
  <c r="Q38" i="35"/>
  <c r="X38" i="35"/>
  <c r="Q70" i="35"/>
  <c r="X70" i="35"/>
  <c r="L80" i="35"/>
  <c r="L63" i="35" s="1"/>
  <c r="R84" i="35"/>
  <c r="X84" i="35" s="1"/>
  <c r="X86" i="35"/>
  <c r="Q93" i="35"/>
  <c r="X93" i="35"/>
  <c r="Q97" i="35"/>
  <c r="X97" i="35"/>
  <c r="Q101" i="35"/>
  <c r="X101" i="35"/>
  <c r="Q35" i="35"/>
  <c r="X35" i="35"/>
  <c r="Q94" i="35"/>
  <c r="X94" i="35"/>
  <c r="Q98" i="35"/>
  <c r="X98" i="35"/>
  <c r="Q102" i="35"/>
  <c r="X102" i="35"/>
  <c r="Q83" i="35"/>
  <c r="X83" i="35"/>
  <c r="Q95" i="35"/>
  <c r="X95" i="35"/>
  <c r="Q99" i="35"/>
  <c r="X99" i="35"/>
  <c r="Q36" i="35"/>
  <c r="X36" i="35"/>
  <c r="L32" i="35"/>
  <c r="P32" i="35"/>
  <c r="Q37" i="35"/>
  <c r="X37" i="35"/>
  <c r="K80" i="35"/>
  <c r="K63" i="35" s="1"/>
  <c r="O80" i="35"/>
  <c r="O63" i="35" s="1"/>
  <c r="Q92" i="35"/>
  <c r="X92" i="35"/>
  <c r="Q96" i="35"/>
  <c r="X96" i="35"/>
  <c r="Q100" i="35"/>
  <c r="X100" i="35"/>
  <c r="L90" i="35"/>
  <c r="Q12" i="35"/>
  <c r="I80" i="35"/>
  <c r="I63" i="35" s="1"/>
  <c r="O90" i="35"/>
  <c r="O32" i="35"/>
  <c r="I12" i="35"/>
  <c r="M12" i="35"/>
  <c r="P90" i="35"/>
  <c r="J106" i="35"/>
  <c r="O117" i="35"/>
  <c r="O114" i="35" s="1"/>
  <c r="R81" i="35"/>
  <c r="I90" i="35"/>
  <c r="M90" i="35"/>
  <c r="Q103" i="35"/>
  <c r="Q40" i="35"/>
  <c r="N90" i="35"/>
  <c r="I106" i="35"/>
  <c r="J117" i="35"/>
  <c r="J114" i="35" s="1"/>
  <c r="N117" i="35"/>
  <c r="N114" i="35" s="1"/>
  <c r="J90" i="35"/>
  <c r="R117" i="35"/>
  <c r="R67" i="35"/>
  <c r="X67" i="35" s="1"/>
  <c r="K90" i="35"/>
  <c r="K32" i="35"/>
  <c r="J80" i="35"/>
  <c r="J63" i="35" s="1"/>
  <c r="N80" i="35"/>
  <c r="N63" i="35" s="1"/>
  <c r="Q87" i="35"/>
  <c r="N106" i="35"/>
  <c r="Q106" i="35"/>
  <c r="M106" i="35"/>
  <c r="K117" i="35"/>
  <c r="K114" i="35" s="1"/>
  <c r="M32" i="35"/>
  <c r="X40" i="35"/>
  <c r="Q82" i="35"/>
  <c r="R91" i="35"/>
  <c r="R90" i="35" s="1"/>
  <c r="X90" i="35" s="1"/>
  <c r="Q119" i="35"/>
  <c r="Q118" i="35" s="1"/>
  <c r="Q117" i="35" s="1"/>
  <c r="Q114" i="35" s="1"/>
  <c r="X33" i="35"/>
  <c r="K106" i="35"/>
  <c r="J32" i="35"/>
  <c r="N32" i="35"/>
  <c r="L106" i="35"/>
  <c r="Q69" i="35"/>
  <c r="Q86" i="35"/>
  <c r="Q84" i="35" s="1"/>
  <c r="R114" i="35" l="1"/>
  <c r="X117" i="35"/>
  <c r="Q81" i="35"/>
  <c r="Q80" i="35" s="1"/>
  <c r="Q63" i="35" s="1"/>
  <c r="Q67" i="35"/>
  <c r="Q91" i="35"/>
  <c r="Q90" i="35" s="1"/>
  <c r="Q33" i="35"/>
  <c r="Q32" i="35" s="1"/>
  <c r="R80" i="35"/>
  <c r="X80" i="35" s="1"/>
  <c r="X81" i="35"/>
  <c r="M62" i="35"/>
  <c r="M11" i="35" s="1"/>
  <c r="P62" i="35"/>
  <c r="P11" i="35" s="1"/>
  <c r="N62" i="35"/>
  <c r="N11" i="35" s="1"/>
  <c r="L62" i="35"/>
  <c r="L11" i="35" s="1"/>
  <c r="J62" i="35"/>
  <c r="J11" i="35" s="1"/>
  <c r="I62" i="35"/>
  <c r="I11" i="35" s="1"/>
  <c r="R32" i="35"/>
  <c r="Y32" i="35" s="1"/>
  <c r="Y11" i="35" s="1"/>
  <c r="K62" i="35"/>
  <c r="K11" i="35" s="1"/>
  <c r="O62" i="35"/>
  <c r="O11" i="35" s="1"/>
  <c r="Q62" i="35" l="1"/>
  <c r="Q11" i="35" s="1"/>
  <c r="R63" i="35"/>
  <c r="X63" i="35" s="1"/>
  <c r="X32" i="35"/>
  <c r="G9" i="29"/>
  <c r="R62" i="35" l="1"/>
  <c r="A3" i="29"/>
  <c r="X62" i="35" l="1"/>
  <c r="R11" i="35"/>
  <c r="I12" i="29"/>
  <c r="H12" i="29" s="1"/>
  <c r="D12" i="29"/>
  <c r="C12" i="29" s="1"/>
  <c r="I11" i="29"/>
  <c r="H11" i="29" s="1"/>
  <c r="D11" i="29"/>
  <c r="C11" i="29" s="1"/>
  <c r="I10" i="29"/>
  <c r="H10" i="29" s="1"/>
  <c r="D10" i="29"/>
  <c r="C10" i="29" s="1"/>
  <c r="L9" i="29"/>
  <c r="K9" i="29"/>
  <c r="J9" i="29"/>
  <c r="F9" i="29"/>
  <c r="E9" i="29"/>
  <c r="X11" i="35" l="1"/>
  <c r="I9" i="29"/>
  <c r="D9" i="29"/>
  <c r="C9" i="29"/>
  <c r="H9" i="29"/>
  <c r="U132" i="35" l="1"/>
  <c r="X132" i="35" s="1"/>
  <c r="X134" i="35"/>
  <c r="V132" i="35"/>
  <c r="V131" i="35"/>
  <c r="V130" i="35" s="1"/>
  <c r="V10" i="35" s="1"/>
  <c r="Q15" i="37" l="1"/>
  <c r="Q11" i="37" s="1"/>
  <c r="Q10" i="37" s="1"/>
  <c r="R11" i="37"/>
  <c r="R10" i="37" s="1"/>
  <c r="U131" i="35"/>
  <c r="G15" i="37" l="1"/>
  <c r="J15" i="37" s="1"/>
  <c r="H11" i="37"/>
  <c r="H10" i="37" s="1"/>
  <c r="X131" i="35"/>
  <c r="U130" i="35"/>
  <c r="G11" i="37" l="1"/>
  <c r="G10" i="37" s="1"/>
  <c r="X10" i="35"/>
  <c r="X130" i="35"/>
  <c r="J11" i="37" l="1"/>
  <c r="J10" i="37" l="1"/>
  <c r="J36" i="36"/>
  <c r="J35" i="36"/>
  <c r="J37" i="36"/>
  <c r="D35" i="36"/>
  <c r="J38" i="36"/>
  <c r="D115" i="36"/>
  <c r="D123" i="36"/>
  <c r="D114" i="36"/>
  <c r="D121" i="36"/>
  <c r="D118" i="36"/>
  <c r="D120" i="36"/>
  <c r="D116" i="36"/>
  <c r="D117" i="36"/>
  <c r="D122" i="36"/>
  <c r="D119" i="36"/>
  <c r="D134" i="36"/>
  <c r="D128" i="36"/>
  <c r="D130" i="36"/>
  <c r="D138" i="36"/>
  <c r="D136" i="36"/>
  <c r="D137" i="36"/>
  <c r="D127" i="36"/>
  <c r="D132" i="36"/>
  <c r="D126" i="36" s="1"/>
  <c r="D125" i="36"/>
  <c r="D131" i="36"/>
  <c r="D135" i="36"/>
  <c r="D129" i="36"/>
  <c r="D133" i="36"/>
  <c r="D124" i="36"/>
  <c r="D113" i="36" s="1"/>
  <c r="J113" i="36" s="1"/>
  <c r="D101" i="36"/>
  <c r="D103" i="36"/>
  <c r="D112" i="36"/>
  <c r="D111" i="36"/>
  <c r="D102" i="36"/>
  <c r="D107" i="36"/>
  <c r="D106" i="36"/>
  <c r="D108" i="36"/>
  <c r="D109" i="36"/>
  <c r="D110" i="36"/>
  <c r="D104" i="36"/>
  <c r="D105" i="36"/>
  <c r="D81" i="36"/>
  <c r="D85" i="36"/>
  <c r="D76" i="36"/>
  <c r="D75" i="36"/>
  <c r="D78" i="36"/>
  <c r="D80" i="36"/>
  <c r="D79" i="36"/>
  <c r="D77" i="36"/>
  <c r="D74" i="36" s="1"/>
  <c r="D84" i="36"/>
  <c r="D83" i="36"/>
  <c r="D82" i="36"/>
  <c r="D90" i="36"/>
  <c r="D96" i="36"/>
  <c r="D92" i="36"/>
  <c r="D88" i="36"/>
  <c r="D89" i="36"/>
  <c r="D91" i="36"/>
  <c r="D93" i="36"/>
  <c r="D94" i="36"/>
  <c r="D98" i="36"/>
  <c r="D95" i="36"/>
  <c r="D97" i="36"/>
  <c r="D99" i="36"/>
  <c r="D87" i="36"/>
  <c r="D86" i="36"/>
  <c r="D100" i="36"/>
  <c r="D65" i="36"/>
  <c r="D63" i="36"/>
  <c r="D64" i="36"/>
  <c r="D61" i="36"/>
  <c r="D60" i="36"/>
  <c r="D59" i="36"/>
  <c r="D54" i="36"/>
  <c r="D55" i="36"/>
  <c r="D62" i="36"/>
  <c r="D56" i="36"/>
  <c r="D57" i="36"/>
  <c r="D58" i="36"/>
  <c r="D51" i="36"/>
  <c r="D45" i="36"/>
  <c r="D46" i="36"/>
  <c r="D44" i="36"/>
  <c r="D50" i="36"/>
  <c r="D42" i="36"/>
  <c r="D48" i="36"/>
  <c r="D47" i="36"/>
  <c r="D43" i="36"/>
  <c r="D41" i="36"/>
  <c r="D49" i="36"/>
  <c r="D53" i="36"/>
  <c r="D52" i="36"/>
  <c r="D70" i="36"/>
  <c r="D156" i="36"/>
  <c r="D159" i="36"/>
  <c r="D158" i="36"/>
  <c r="D157" i="36"/>
  <c r="D153" i="36"/>
  <c r="D152" i="36" s="1"/>
  <c r="D147" i="36" s="1"/>
  <c r="D139" i="36" l="1"/>
  <c r="J139" i="36" s="1"/>
  <c r="J147" i="36"/>
  <c r="J7" i="36"/>
  <c r="J34" i="36"/>
  <c r="J73" i="36"/>
  <c r="D73" i="36"/>
  <c r="D66" i="36"/>
  <c r="D72" i="36"/>
  <c r="J72" i="36"/>
  <c r="J71" i="36"/>
  <c r="D71" i="36"/>
  <c r="J40" i="36"/>
  <c r="D40" i="36"/>
  <c r="D34" i="36"/>
  <c r="D7" i="36"/>
  <c r="D6" i="36"/>
  <c r="J6" i="36"/>
</calcChain>
</file>

<file path=xl/sharedStrings.xml><?xml version="1.0" encoding="utf-8"?>
<sst xmlns="http://schemas.openxmlformats.org/spreadsheetml/2006/main" count="2332" uniqueCount="852">
  <si>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</si>
  <si>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</si>
  <si>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</si>
  <si>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</si>
  <si>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</si>
  <si>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</si>
  <si>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</si>
  <si>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</si>
  <si>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</si>
  <si>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</si>
  <si>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</si>
  <si>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</si>
  <si>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</si>
  <si>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</si>
  <si>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</si>
  <si>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</si>
  <si>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</si>
  <si>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</si>
  <si>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</si>
  <si>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</si>
  <si>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</si>
  <si>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</si>
  <si>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</si>
  <si>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</si>
  <si>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</si>
  <si>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</si>
  <si>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</si>
  <si>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</si>
  <si>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</si>
  <si>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</si>
  <si>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</si>
  <si>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</si>
  <si>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</si>
  <si>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</si>
  <si>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</si>
  <si>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</si>
  <si>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</si>
  <si>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</si>
  <si>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</si>
  <si>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</si>
  <si>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</si>
  <si>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</si>
  <si>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</si>
  <si>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</si>
  <si>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</si>
  <si>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</si>
  <si>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</si>
  <si>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</si>
  <si>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</si>
  <si>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</si>
  <si>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</si>
  <si>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</si>
  <si>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</si>
  <si>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</si>
  <si>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</si>
  <si>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</si>
  <si>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</si>
  <si>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</si>
  <si>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</si>
  <si>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</si>
  <si>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</si>
  <si>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</si>
  <si>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</si>
  <si>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</si>
  <si>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</si>
  <si>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</si>
  <si>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</si>
  <si>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</si>
  <si>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</si>
  <si>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</si>
  <si>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Phòng Tư Pháp</t>
  </si>
  <si>
    <t>Danh mục dự án/công trình</t>
  </si>
  <si>
    <t>Chủ đầu tư</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</si>
  <si>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</si>
  <si>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</si>
  <si>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</si>
  <si>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</si>
  <si>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</si>
  <si>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</si>
  <si>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</si>
  <si>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</si>
  <si>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</si>
  <si>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</si>
  <si>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</si>
  <si>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</si>
  <si>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</si>
  <si>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</si>
  <si>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</si>
  <si>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</si>
  <si>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</si>
  <si>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</si>
  <si>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</si>
  <si>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</si>
  <si>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</si>
  <si>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</si>
  <si>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</si>
  <si>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</si>
  <si>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</si>
  <si>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</si>
  <si>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</si>
  <si>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</si>
  <si>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</si>
  <si>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</si>
  <si>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</si>
  <si>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</si>
  <si>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</si>
  <si>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Trung tâm Văn hóa - Thể thao - Du lịch và Truyền thông</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</si>
  <si>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</si>
  <si>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</si>
  <si>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</si>
  <si>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</si>
  <si>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</si>
  <si>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</si>
  <si>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</si>
  <si>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</si>
  <si>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</si>
  <si>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</si>
  <si>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</si>
  <si>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</si>
  <si>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</si>
  <si>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</si>
  <si>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</si>
  <si>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17</t>
  </si>
  <si>
    <t>Ban quản lý thực hiện các Chương trình MTQG xã Đăk Rơ Ông</t>
  </si>
  <si>
    <t>xã Đăk Rơ Ông</t>
  </si>
  <si>
    <t>18</t>
  </si>
  <si>
    <t>19</t>
  </si>
  <si>
    <t>Ban quản lý thực hiện các Chương trình MTQG xã Ngọk Lây</t>
  </si>
  <si>
    <t>xã Ngọk Lây</t>
  </si>
  <si>
    <t>Ban quản lý thực hiện các Chương trình MTQG xã Tu Mơ Rông</t>
  </si>
  <si>
    <t>xã Tu Mơ Rông</t>
  </si>
  <si>
    <t>Ban quản lý thực hiện các Chương trình MTQG xã Đăk Hà</t>
  </si>
  <si>
    <t>xã Đăk Hà</t>
  </si>
  <si>
    <t>Ban quản lý thực hiện các Chương trình MTQG xã Ngọk Yêu</t>
  </si>
  <si>
    <t xml:space="preserve"> xã Ngọk Yêu</t>
  </si>
  <si>
    <t>xã Tê Xăng</t>
  </si>
  <si>
    <t>Ban quản lý thực hiện các Chương trình MTQG xã Măng Ri</t>
  </si>
  <si>
    <t>xã Măng Ri</t>
  </si>
  <si>
    <t>xã Đăk Tờ Kan</t>
  </si>
  <si>
    <t>xã Đăk Sao</t>
  </si>
  <si>
    <t>xã Đăk Na</t>
  </si>
  <si>
    <t xml:space="preserve"> xã Văn Xuôi  </t>
  </si>
  <si>
    <t>Giá trị vốn giải ngân</t>
  </si>
  <si>
    <t>Tỷ lệ giải ngân</t>
  </si>
  <si>
    <t>Trong đó: Vốn sự nghiệp</t>
  </si>
  <si>
    <t>A</t>
  </si>
  <si>
    <t>B</t>
  </si>
  <si>
    <t>V</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</si>
  <si>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</si>
  <si>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</si>
  <si>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</si>
  <si>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</si>
  <si>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</si>
  <si>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</si>
  <si>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</si>
  <si>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</si>
  <si>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</si>
  <si>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</si>
  <si>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</si>
  <si>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</si>
  <si>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</si>
  <si>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</si>
  <si>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</si>
  <si>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</si>
  <si>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</si>
  <si>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</si>
  <si>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</si>
  <si>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</si>
  <si>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 xml:space="preserve">Đường đi khu sản xuất Đăk Ter thôn Kon Pia (đoạn từ nhà Nguyễn Hữu Hiệp) </t>
  </si>
  <si>
    <t xml:space="preserve"> xã Đăk Hà</t>
  </si>
  <si>
    <t>76/QĐ-UBND, ngày 21/11/2022</t>
  </si>
  <si>
    <t>Đường đi khu sản xuất Tê Tri thôn Ngọc Leang (đoạn từ nhà Y Hnon)</t>
  </si>
  <si>
    <t>75/QĐ-UBND, ngày 21/11/2022</t>
  </si>
  <si>
    <t>Đường nội thôn Đăk Pơ Trang</t>
  </si>
  <si>
    <t>74/QĐ-UBND, ngày 21/11/2022</t>
  </si>
  <si>
    <t>Đường nội thôn ĐăK Hà (Đoạn vào nhà Bek)</t>
  </si>
  <si>
    <t>73/QĐ-UBND, ngày 21/11/2022</t>
  </si>
  <si>
    <t>Sân thể thao thôn Kon Pia</t>
  </si>
  <si>
    <t>72/QĐ-UBND, ngày 21/11/2022</t>
  </si>
  <si>
    <t>Sân thể thao thôn Ngọc Leang</t>
  </si>
  <si>
    <t>71/QĐ-UBND, ngày 21/11/2022</t>
  </si>
  <si>
    <t>Sân thể thao thôn Đăk Siêng</t>
  </si>
  <si>
    <t>70/QĐ-UBND, ngày 21/11/2022</t>
  </si>
  <si>
    <t>Sân thể thao thôn Tu Mơ Rông</t>
  </si>
  <si>
    <t>69/QĐ-UBND, ngày 21/11/2022</t>
  </si>
  <si>
    <t>Sân thể thao thôn Đăk Pơ Trang</t>
  </si>
  <si>
    <t>68/QĐ-UBND, ngày 21/11/2022</t>
  </si>
  <si>
    <t>Sân thể thao thôn Kon Ling</t>
  </si>
  <si>
    <t>67/QĐ-UBND, ngày 21/11/2022</t>
  </si>
  <si>
    <t>Sân thể thao thôn Ty Tu</t>
  </si>
  <si>
    <t>66/QĐ-UBND, ngày 21/11/2022</t>
  </si>
  <si>
    <t>Sân thể thao thôn Đăk Hà</t>
  </si>
  <si>
    <t>77/QĐ-UBND, ngày 21/11/2022</t>
  </si>
  <si>
    <t>Đường đi khu sản xuất Te Pô Bô thôn Đăk Pơ Trang (đoạn nối tiếp)</t>
  </si>
  <si>
    <t>280, 292</t>
  </si>
  <si>
    <t>80/QĐ-UBND, ngày 21/11/2022</t>
  </si>
  <si>
    <t xml:space="preserve">Đường đi khu sản xuất Ter Rặ thôn Đăk Siêng (đoạn từ rẫy nhà A Hun) </t>
  </si>
  <si>
    <t>280, 293</t>
  </si>
  <si>
    <t>79/QĐ-UBND, ngày 21/11/2022</t>
  </si>
  <si>
    <t>Kiên cố hóa kênh mương thủy lợi Tea Prea thôn Kon Ling</t>
  </si>
  <si>
    <t>280, 283</t>
  </si>
  <si>
    <t>78/QĐ-UBND, ngày 21/11/2022</t>
  </si>
  <si>
    <t>Đường nội thôn Long Hy</t>
  </si>
  <si>
    <t>Thủy lợi Long Va, thôn Chung Tam (làm mới đập đầu mối và kênh)</t>
  </si>
  <si>
    <t>Thủy lợi Ti Neang, thôn Pu Tá (làm mới đập đầu mối và kênh)</t>
  </si>
  <si>
    <t>Khu thể thao thôn Pu Tá</t>
  </si>
  <si>
    <t>Chương trình mục tiêu quốc gia Giảm nghèo bền vững</t>
  </si>
  <si>
    <t>Dự án chuyển tiếp</t>
  </si>
  <si>
    <t>220, 221</t>
  </si>
  <si>
    <t>213/QĐ-UBND, ngày 04/7/2022</t>
  </si>
  <si>
    <t>212/QĐ-UBND, ngày 04/7/2022</t>
  </si>
  <si>
    <t>1.3</t>
  </si>
  <si>
    <t>221/QĐ-UBND, ngày 04/7/2022</t>
  </si>
  <si>
    <t>220/QĐ-UBND, ngày 04/7/2022</t>
  </si>
  <si>
    <t>1.5</t>
  </si>
  <si>
    <t>197/QĐ-UBND, ngày 04/7/2022</t>
  </si>
  <si>
    <t>1.6</t>
  </si>
  <si>
    <t>58/QĐ-UBND, ngày 23/12/2021</t>
  </si>
  <si>
    <t>Khởi công mới</t>
  </si>
  <si>
    <t>Nâng cấp, sữa chữa nước sinh hoạt thôn Tam Rin</t>
  </si>
  <si>
    <t>225/QĐ-UBND, ngày 04/07/2022</t>
  </si>
  <si>
    <t>Khu văn hóa thể thao xã Đăk Sao</t>
  </si>
  <si>
    <t>544/QĐ-UBND, ngày 16/11/2022</t>
  </si>
  <si>
    <t>Đường đi khu sản xuất thôn Đăk Riếp 1, xã Đăk Na</t>
  </si>
  <si>
    <t>608/QĐ-UBND, 01/12/2022</t>
  </si>
  <si>
    <t>2.4</t>
  </si>
  <si>
    <t>Khu văn hóa thể thao xã Tu Mơ Rông</t>
  </si>
  <si>
    <t>545/QĐ-UBND, ngày 16/11/2022</t>
  </si>
  <si>
    <t>2.5</t>
  </si>
  <si>
    <t>Trung tâm giáo dục thường xuyên - giáo dục nghề nghiệp</t>
  </si>
  <si>
    <t>070, 075</t>
  </si>
  <si>
    <t>546/qđ-ubnd, ngày 16/11/2022</t>
  </si>
  <si>
    <t>2.6</t>
  </si>
  <si>
    <t>cấp nước sinh hoạt các thôn xã Đăk Hà</t>
  </si>
  <si>
    <t>280, 311</t>
  </si>
  <si>
    <t>547/QĐ-UBND, ngày 16/11/2022</t>
  </si>
  <si>
    <t>2.7</t>
  </si>
  <si>
    <t>Nâng cấp, Sửa chữa công trình thoát nước, vỉa hè các tuyến đường khu trung tâm huyện</t>
  </si>
  <si>
    <t>Trung tâm Môi trường và Dịch vụ Đô thị</t>
  </si>
  <si>
    <t>280, 312</t>
  </si>
  <si>
    <t>228a/QĐ-UBND, ngày 5/7/2022</t>
  </si>
  <si>
    <t>2.8</t>
  </si>
  <si>
    <t>Nâng cấp sửa chữa đường nội thôn Mô Pành</t>
  </si>
  <si>
    <t>80/QĐ-UBND, ngày 20/10/2022</t>
  </si>
  <si>
    <t>2.9</t>
  </si>
  <si>
    <t>Đường trục đi KSX thôn Kon Hia 1  (Đoạn chân đèo Vân Loan)</t>
  </si>
  <si>
    <t>79/QĐ-UBND, ngày 20/10/2022</t>
  </si>
  <si>
    <t>2.10</t>
  </si>
  <si>
    <t>Sữa chữa nâng cấp đường đi khu sản xuất thôn Mô Za (Toàn tuyến 2km)</t>
  </si>
  <si>
    <t>8002489</t>
  </si>
  <si>
    <t>83/QĐ-UBND, ngày 30/11/2022</t>
  </si>
  <si>
    <t>2.11</t>
  </si>
  <si>
    <t>Hội trường Đa Năng Xã Đăk Hà</t>
  </si>
  <si>
    <t>UBND xã Đăk Hà</t>
  </si>
  <si>
    <t>280, 338</t>
  </si>
  <si>
    <t>588/QĐ-UBND, ngày 24/11/2022</t>
  </si>
  <si>
    <t>2.12</t>
  </si>
  <si>
    <t>Đường đi khu sản xuất Đăk Psi thôn Ba Tu 2 (đoạn nối tiếp), xã Ngọk Yêu</t>
  </si>
  <si>
    <t>162/QĐ-UBND, ngày 13/12/2022</t>
  </si>
  <si>
    <t>2.13</t>
  </si>
  <si>
    <t>Hội trường Đa Năng Xã Tê Xăng</t>
  </si>
  <si>
    <t>UBND xã Tê Xăng</t>
  </si>
  <si>
    <t>2023</t>
  </si>
  <si>
    <t>572/QĐ-UBND, ngày 18/11/2022
664a/QĐ-UBND, ngày 16/12/2022</t>
  </si>
  <si>
    <t>2.14</t>
  </si>
  <si>
    <t>Nâng cấp, mở rộng tuyến đường từ thôn Pu Tá đi làng cũ</t>
  </si>
  <si>
    <t>2.15</t>
  </si>
  <si>
    <t>Nâng cấp sửa chữa đường nội thôn Pu Tá</t>
  </si>
  <si>
    <t>89/QĐ-UBND, ngày 18/11/2021</t>
  </si>
  <si>
    <t>2.16</t>
  </si>
  <si>
    <t>Hội trường Đa Năng Xã  Đăk Tờ Kan</t>
  </si>
  <si>
    <t>UBND xã Đăk Tờ Kan</t>
  </si>
  <si>
    <t>572/QĐ-UBND, ngày 18/11/2022
662a/QĐ-UBND, ngày 16/12/2022</t>
  </si>
  <si>
    <t>2.17</t>
  </si>
  <si>
    <t>Cầu treo Đăk Tu thôn Kon Cung</t>
  </si>
  <si>
    <t>UBND xã Đăk Sao</t>
  </si>
  <si>
    <t>799, 163</t>
  </si>
  <si>
    <t>595/QĐ-UBND, ngày 24/11/2022</t>
  </si>
  <si>
    <t>2.18</t>
  </si>
  <si>
    <t>Hội trường Đa Năng Xã Đăk Na</t>
  </si>
  <si>
    <t>573/QĐ-UBND, ngày 18/11/2022
663a/QĐ-UBND, ngày 16/12/2022</t>
  </si>
  <si>
    <t>2.19</t>
  </si>
  <si>
    <t xml:space="preserve">Hội trường Đa Năng Xã Văn Xuôi </t>
  </si>
  <si>
    <t>UBND xã Văn Xuôi</t>
  </si>
  <si>
    <t>574/QĐ-UBND, ngày 18/11/2022; 606/QĐ-UBND, ngày 01/12/2022</t>
  </si>
  <si>
    <t>2.20</t>
  </si>
  <si>
    <t>Khu văn hóa thể thao xã Đăk Tờ Kan</t>
  </si>
  <si>
    <t xml:space="preserve">Xã Đăk Tờ Kan </t>
  </si>
  <si>
    <t>543/QĐ-UBND/ ngày 16/11/2022</t>
  </si>
  <si>
    <t>2.21</t>
  </si>
  <si>
    <t>Khu văn hóa thể thao xã Tê Xăng</t>
  </si>
  <si>
    <t>542/QĐ-UBND/ ngày 16/11/2022</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</si>
  <si>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</si>
  <si>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</si>
  <si>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</si>
  <si>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</si>
  <si>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</si>
  <si>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</si>
  <si>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</si>
  <si>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</si>
  <si>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</si>
  <si>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</si>
  <si>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</si>
  <si>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</si>
  <si>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</si>
  <si>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</si>
  <si>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</si>
  <si>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</si>
  <si>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</si>
  <si>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</si>
  <si>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</si>
  <si>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</si>
  <si>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</si>
  <si>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</si>
  <si>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</si>
  <si>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</si>
  <si>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</si>
  <si>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</si>
  <si>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</si>
  <si>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</si>
  <si>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</si>
  <si>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</si>
  <si>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</si>
  <si>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</si>
  <si>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</si>
  <si>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</si>
  <si>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</si>
  <si>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</si>
  <si>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</si>
  <si>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</si>
  <si>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</si>
  <si>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</si>
  <si>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</si>
  <si>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</si>
  <si>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</si>
  <si>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</si>
  <si>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</si>
  <si>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</si>
  <si>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</si>
  <si>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</si>
  <si>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</si>
  <si>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</si>
  <si>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</si>
  <si>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</si>
  <si>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</si>
  <si>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</si>
  <si>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</si>
  <si>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</si>
  <si>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</si>
  <si>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</si>
  <si>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</si>
  <si>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</si>
  <si>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</si>
  <si>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</si>
  <si>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</si>
  <si>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</si>
  <si>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</si>
  <si>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</si>
  <si>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</si>
  <si>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</si>
  <si>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</si>
  <si>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</si>
  <si>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</si>
  <si>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</si>
  <si>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</si>
  <si>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</si>
  <si>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</si>
  <si>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</si>
  <si>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</si>
  <si>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</si>
  <si>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</si>
  <si>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</si>
  <si>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</si>
  <si>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3.2.1</t>
  </si>
  <si>
    <t>Chợ trung tâm xã Ngok Lây</t>
  </si>
  <si>
    <t>3.2.2</t>
  </si>
  <si>
    <t>Nâng cấp, sửa chữa đường liên xã Đăk Hà qua xã Đăk Rơ Ông</t>
  </si>
  <si>
    <t>Xã Đăk Hà-Đăk Rơ Ông</t>
  </si>
  <si>
    <t>541/QĐ-UBND, ngày 16/11/2022</t>
  </si>
  <si>
    <t>Dự án 5 (bố trí dự án chuyển tiếp)</t>
  </si>
  <si>
    <t>Trường Phổ thông dân tộc bán trú Trung học cơ sở xã Đăk Sao</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</si>
  <si>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</si>
  <si>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</si>
  <si>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</si>
  <si>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</si>
  <si>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</si>
  <si>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</si>
  <si>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Trường Phổ thông dân tộc bán trú Trung học cơ sở xã Đăk Na</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</si>
  <si>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</si>
  <si>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</si>
  <si>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</si>
  <si>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</si>
  <si>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</si>
  <si>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</si>
  <si>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</si>
  <si>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</si>
  <si>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</si>
  <si>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</si>
  <si>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</si>
  <si>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</si>
  <si>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</si>
  <si>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Làng Ba Khen, xã Văn Xuôi</t>
  </si>
  <si>
    <t>5.2</t>
  </si>
  <si>
    <t>5.2.1</t>
  </si>
  <si>
    <t>5.2.1.1</t>
  </si>
  <si>
    <t xml:space="preserve">Hỗ trợ đầu tư xây dựng thiết chế văn hoá, thể thao thôn Đăk Kinh 1, xã Ngọk Lây </t>
  </si>
  <si>
    <t>176a/QĐ-UBND, ngày 22/6/2022</t>
  </si>
  <si>
    <t>5.2.1.2</t>
  </si>
  <si>
    <t>Hỗ trợ đầu tư xây dựng thiết chế văn hoá, thể thao thôn Mô Bành, xã Đăk Rơ Ông</t>
  </si>
  <si>
    <t>177c/QĐ-UBND, ngày 23/6/2022</t>
  </si>
  <si>
    <t>5.2.2</t>
  </si>
  <si>
    <t>5.2.2.1</t>
  </si>
  <si>
    <t>Hỗ trợ đầu tư xây dựng thiết chế văn hoá, thể thao thôn Măng Lỡ, xã Đăk Rơ Ông</t>
  </si>
  <si>
    <t>178a/QĐ-UBND, ngày 27/6/2022</t>
  </si>
  <si>
    <t>5.2.2.2</t>
  </si>
  <si>
    <t>Hỗ trợ đầu tư xây dựng thiết chế văn hoá, thể thao thôn Tê Xô Trong, xã Đăk Tờ Kan</t>
  </si>
  <si>
    <t>499b/QĐ-UBND, ngày 10/11/2022</t>
  </si>
  <si>
    <t>5.2.2.3</t>
  </si>
  <si>
    <t>Hỗ trợ đầu tư xây dựng thiết chế văn hoá, thể thao thôn Mô Pả, Xã Đăk Hà</t>
  </si>
  <si>
    <t>499a/QĐ-UBND, ngày 10/11/2022</t>
  </si>
  <si>
    <t>5.2.2.4</t>
  </si>
  <si>
    <t>Hỗ trợ đầu tư xây dựng thiết chế văn hoá, thể thao thôn Tu Mơ Rông, Xã Đăk Hà</t>
  </si>
  <si>
    <t>580a/QĐ-UBND, ngày 22/11/2022</t>
  </si>
  <si>
    <t>5.2.2.5</t>
  </si>
  <si>
    <t>Hỗ trợ đầu tư xây dựng thiết chế văn hoá, thể thao thôn Đăk Riếp 2, xã Đăk Na</t>
  </si>
  <si>
    <t>553a/QĐ-UBND, ngày 16/11/2022</t>
  </si>
  <si>
    <t>5.2.2.6</t>
  </si>
  <si>
    <t>Hỗ trợ đầu tư xây dựng thiết chế văn hoá, thể thao thôn Long Láy 1, Xã Ngọk Yêu.</t>
  </si>
  <si>
    <t>553b/QĐ-UBND, ngày 16/11/2022</t>
  </si>
  <si>
    <t>280, 314</t>
  </si>
  <si>
    <t>177a/QĐ-UBND, ngày 23/6/2022</t>
  </si>
  <si>
    <t>Kế hoạch 2023 vốn NSTW</t>
  </si>
  <si>
    <t xml:space="preserve">Hỗ trợ phát triển sản xuất liên kết theo chuỗi giá trị </t>
  </si>
  <si>
    <t>Kinh phí quản lý Chương trình</t>
  </si>
  <si>
    <t>Chương trình nâng cao chất lượng, hiệu quả thực hiện tiêu chí an ninh, trật tự trong xây dựng NTM</t>
  </si>
  <si>
    <t>Công an huyện</t>
  </si>
  <si>
    <t>Thực hiện Chương trình chuyển đổi số trong xây dựng nông thôn mới, hướng tới nông thôn mới thông minh</t>
  </si>
  <si>
    <t>Nâng cấp, sửa chữa đường đi khu sản xuất thôn Kon Hia 2</t>
  </si>
  <si>
    <t>Nâng cấp, Sửa chữa đường vào thôn Kon Pia xã  Đăk Hà (Đoạn từ rẫy nhà A Nu đi vào thôn)</t>
  </si>
  <si>
    <t>Nâng cấp, sửa chữa đường từ UBND xã Măng Ri đi thôn Chung Tam, Pu Tá (đoạn nối tiếp)</t>
  </si>
  <si>
    <t>Nâng cấp sửa chữa Đường liên thôn Mô Za - Lộc Bông, xã Ngọc Lây (Đoạn từ ngã ba đi Mô Za đến Lộc Bông)</t>
  </si>
  <si>
    <t>Dự án 2: Đa dạng hóa sinh kế, phát triển mô hình giảm nghèo</t>
  </si>
  <si>
    <t xml:space="preserve">Dự án 3: hỗ trợ phát triển sản xuất trong lĩnh vực nông nghiệp </t>
  </si>
  <si>
    <t>Tiểu dự án 1:  Hỗ trợ phát triển sản xuất trong lĩnh vực nông nghiệp</t>
  </si>
  <si>
    <t>Trung tâm dịch vụ Nông nghiệp huyện</t>
  </si>
  <si>
    <t>Dự án 4: Phát triển giáo dục nghề nghiệp, việc làm bền vững</t>
  </si>
  <si>
    <t>Tiểu dự án 1. Phát triển GDNN vùng nghèo, vùng khó khăn</t>
  </si>
  <si>
    <t>Tiểu dự án 2. Hỗ trợ người lao động đi làm việc ở nước ngoài theo hợp đồng</t>
  </si>
  <si>
    <t>Tiểu dự án 3: Hỗ trợ việc làm bền vững</t>
  </si>
  <si>
    <t>Dự án 5: Hỗ trợ nhà ở cho hộ nghèo, hộ cận nghèo trên địa bàn các huyện nghèo</t>
  </si>
  <si>
    <t>Dự án 6: Truyền thông và giảm nghèo về thông tin</t>
  </si>
  <si>
    <t>VI.1</t>
  </si>
  <si>
    <t>Tiểu dự án 1: Giảm nghèo về thông tin</t>
  </si>
  <si>
    <t>Trung tâm Văn hóa - Thể thảo - Du lịch và Truyền thông</t>
  </si>
  <si>
    <t>VI.2</t>
  </si>
  <si>
    <t>Tiểu dự án 2: Truyền thông về giảm nghèo đa chiều</t>
  </si>
  <si>
    <t>Dự án 7: Nâng cao năng lực và giám sát, đánh giá Chương trình</t>
  </si>
  <si>
    <t>Cấp huyện</t>
  </si>
  <si>
    <t>Cấp xã</t>
  </si>
  <si>
    <t>Dự án 1: Hỗ trợ đầu tư phát triển hạ tầng kinh tế - xã hội các huyện nghèo (Hỗ trợ duy tu và bảo dưỡng)</t>
  </si>
  <si>
    <t>Thực hiện Chương trình mỗi xã một sản phẩm tại cấp tỉnh, huyện</t>
  </si>
  <si>
    <t>Các hoạt động khác tại các địa phương</t>
  </si>
  <si>
    <t>Phòng Nông nghiệp và Phát triển nông thôn</t>
  </si>
  <si>
    <t>Phòng Văn hóa và Thông tin</t>
  </si>
  <si>
    <t>CTMTQG PHÁT TRIỂN KTXH VÙNG ĐBDTTS VÀ MIỀN NÚI</t>
  </si>
  <si>
    <t>Dự án 8</t>
  </si>
  <si>
    <t>Phòng Giáo dục và Đào tạo</t>
  </si>
  <si>
    <t>Dự án 9 -TDA 2</t>
  </si>
  <si>
    <t>Dự án 3 -TDA 1</t>
  </si>
  <si>
    <t>Dự án 5 - TDA 3</t>
  </si>
  <si>
    <t>Chủ đâu tư</t>
  </si>
  <si>
    <t xml:space="preserve">Tổng số </t>
  </si>
  <si>
    <t>THỰC HIỆN KẾ HOẠCH VỐN NGÂN SÁCH ĐỊA PHƯƠNG THỰC HIỆN 03 CHƯƠNG TRÌNH MỤC TIÊU QUỐC GIA NĂM 2023 (VỐN SỰ NGHIỆP)</t>
  </si>
  <si>
    <t>THỰC HIỆN KẾ HOẠCH VỐN ĐÂU TƯ PHÁT TRIỂN NĂM 2023 THỰC HIỆN CHƯƠNG TRÌNH MỤC TIÊU QUỐC GIA TRÊN ĐỊA BÀN HUYỆN TU MƠ RÔNG (VỐN ĐẦU TƯ)</t>
  </si>
  <si>
    <t>Kế hoạch vốn giao năm 2023</t>
  </si>
  <si>
    <t>Chương trình</t>
  </si>
  <si>
    <t>TỔNG 03 CTMTQG</t>
  </si>
  <si>
    <t>CTMTQG GIẢM NGHÈO BỀN VỮNG</t>
  </si>
  <si>
    <t>Tổng cộng</t>
  </si>
  <si>
    <t>Vốn SN</t>
  </si>
  <si>
    <t>Phòng Lao động - Thương binh và Xã hội</t>
  </si>
  <si>
    <t>*</t>
  </si>
  <si>
    <t>Phân bổ tập trung (phân bổ chi tiết khi đủ điều kiện)</t>
  </si>
  <si>
    <t>TÌNH HÌNH THỰC HIỆN CÁC CHƯƠNG TRÌNH MỤC TIÊU QUỐC GIA NĂM 2023 TRÊN ĐỊA BÀN HUYỆN</t>
  </si>
  <si>
    <t>Giám sát, đánh giá Chương trình</t>
  </si>
  <si>
    <t>VIII</t>
  </si>
  <si>
    <t>IX</t>
  </si>
  <si>
    <t>Dự án 3</t>
  </si>
  <si>
    <t>Tiểu dự án 1</t>
  </si>
  <si>
    <t>Tiểu dự án 2</t>
  </si>
  <si>
    <t xml:space="preserve">Dự án 5 </t>
  </si>
  <si>
    <t>Tiểu dự án 4</t>
  </si>
  <si>
    <t>Tiểu dự án 3</t>
  </si>
  <si>
    <t xml:space="preserve">Dự án 10 </t>
  </si>
  <si>
    <t>Tỷ lệ giải ngân vốn %</t>
  </si>
  <si>
    <t>NGÂN SÁCH TRUNG ƯƠNG NĂM 2023 THỰC HIỆN CÁC CHƯƠNG TRÌNH MỤC TIÊU QUỐC GIA</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</si>
  <si>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</si>
  <si>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</si>
  <si>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</si>
  <si>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</si>
  <si>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</si>
  <si>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</si>
  <si>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</si>
  <si>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</si>
  <si>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</si>
  <si>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</si>
  <si>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</si>
  <si>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</si>
  <si>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</si>
  <si>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</si>
  <si>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</si>
  <si>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</si>
  <si>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</si>
  <si>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</si>
  <si>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</si>
  <si>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</si>
  <si>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</si>
  <si>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</si>
  <si>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</si>
  <si>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</si>
  <si>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</si>
  <si>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</si>
  <si>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</si>
  <si>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</si>
  <si>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</si>
  <si>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</si>
  <si>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</si>
  <si>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</si>
  <si>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</si>
  <si>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</si>
  <si>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</si>
  <si>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</si>
  <si>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</si>
  <si>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</si>
  <si>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</si>
  <si>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</si>
  <si>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</si>
  <si>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</si>
  <si>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</si>
  <si>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</si>
  <si>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</si>
  <si>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</si>
  <si>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</si>
  <si>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</si>
  <si>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</si>
  <si>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</si>
  <si>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</si>
  <si>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</si>
  <si>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</si>
  <si>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</si>
  <si>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</si>
  <si>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</si>
  <si>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</si>
  <si>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</si>
  <si>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</si>
  <si>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</si>
  <si>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</si>
  <si>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</si>
  <si>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</si>
  <si>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</si>
  <si>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</si>
  <si>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</si>
  <si>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</si>
  <si>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</si>
  <si>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</si>
  <si>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</si>
  <si>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</si>
  <si>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</si>
  <si>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</si>
  <si>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</si>
  <si>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</si>
  <si>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</si>
  <si>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</si>
  <si>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</si>
  <si>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</si>
  <si>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</si>
  <si>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</si>
  <si>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</si>
  <si>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</si>
  <si>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</si>
  <si>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</si>
  <si>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</si>
  <si>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</si>
  <si>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</si>
  <si>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</si>
  <si>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</si>
  <si>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</si>
  <si>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</si>
  <si>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</si>
  <si>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</si>
  <si>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</si>
  <si>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</si>
  <si>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</si>
  <si>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</si>
  <si>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</si>
  <si>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</si>
  <si>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</si>
  <si>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</si>
  <si>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</si>
  <si>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</si>
  <si>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</si>
  <si>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</si>
  <si>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</si>
  <si>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</si>
  <si>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</si>
  <si>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</si>
  <si>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</si>
  <si>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</si>
  <si>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</si>
  <si>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</si>
  <si>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</si>
  <si>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</si>
  <si>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</si>
  <si>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</si>
  <si>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</si>
  <si>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</si>
  <si>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</si>
  <si>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</si>
  <si>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</si>
  <si>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</si>
  <si>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</si>
  <si>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</si>
  <si>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</si>
  <si>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</si>
  <si>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</si>
  <si>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</si>
  <si>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</si>
  <si>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</si>
  <si>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</si>
  <si>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</si>
  <si>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</si>
  <si>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</si>
  <si>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</si>
  <si>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</si>
  <si>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</si>
  <si>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</si>
  <si>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</si>
  <si>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</si>
  <si>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</si>
  <si>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</si>
  <si>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</si>
  <si>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</si>
  <si>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</si>
  <si>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</si>
  <si>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</si>
  <si>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</si>
  <si>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</si>
  <si>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</si>
  <si>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</si>
  <si>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</si>
  <si>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</si>
  <si>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</si>
  <si>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</si>
  <si>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</si>
  <si>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</si>
  <si>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</si>
  <si>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</si>
  <si>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</si>
  <si>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</si>
  <si>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</si>
  <si>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</si>
  <si>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</si>
  <si>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</si>
  <si>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</si>
  <si>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</si>
  <si>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</si>
  <si>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</si>
  <si>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</si>
  <si>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</si>
  <si>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</si>
  <si>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</si>
  <si>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</si>
  <si>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</si>
  <si>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</si>
  <si>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38</t>
  </si>
  <si>
    <t>Ban quản lý thực hiện các Chương trình MTQG xã Đăk Tờ Kan</t>
  </si>
  <si>
    <t>39</t>
  </si>
  <si>
    <t>40</t>
  </si>
  <si>
    <t>41</t>
  </si>
  <si>
    <t>42</t>
  </si>
  <si>
    <t>43</t>
  </si>
  <si>
    <t>44</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</si>
  <si>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</si>
  <si>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</si>
  <si>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</si>
  <si>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</si>
  <si>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</si>
  <si>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</si>
  <si>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</si>
  <si>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</si>
  <si>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</si>
  <si>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</si>
  <si>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</si>
  <si>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</si>
  <si>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</si>
  <si>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</si>
  <si>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</si>
  <si>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</si>
  <si>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</si>
  <si>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</si>
  <si>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</si>
  <si>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</si>
  <si>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</si>
  <si>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</si>
  <si>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</si>
  <si>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</si>
  <si>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</si>
  <si>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</si>
  <si>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</si>
  <si>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</si>
  <si>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</si>
  <si>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</si>
  <si>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</si>
  <si>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</si>
  <si>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</si>
  <si>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</si>
  <si>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</si>
  <si>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</si>
  <si>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</si>
  <si>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</si>
  <si>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</si>
  <si>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</si>
  <si>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</si>
  <si>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</si>
  <si>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</si>
  <si>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</si>
  <si>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</si>
  <si>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</si>
  <si>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</si>
  <si>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</si>
  <si>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</si>
  <si>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</si>
  <si>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</si>
  <si>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</si>
  <si>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</si>
  <si>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</si>
  <si>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</si>
  <si>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</si>
  <si>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</si>
  <si>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</si>
  <si>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</si>
  <si>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</si>
  <si>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</si>
  <si>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</si>
  <si>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</si>
  <si>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</si>
  <si>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</si>
  <si>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</si>
  <si>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</si>
  <si>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</si>
  <si>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BQL thực hiện các CT MTQG xã Đăk Rơ Ông</t>
  </si>
  <si>
    <t>BQL thực hiện các CT MTQG xã Ngọk Lây</t>
  </si>
  <si>
    <t>BQL thực hiện các CT MTQG xã Tu Mơ Rông</t>
  </si>
  <si>
    <t>BQL thực hiện các CT MTQG xã Đăk Hà</t>
  </si>
  <si>
    <t>BQL thực hiện các CT MTQG xã Ngọk Yêu</t>
  </si>
  <si>
    <t>BQL thực hiện các CT MTQG xã Đăk Tờ Kan</t>
  </si>
  <si>
    <t>BQL thực hiện các CT MTQG xã Măng Ri</t>
  </si>
  <si>
    <t>BQL thực hiện các CT MTQG xã Tê Xăng</t>
  </si>
  <si>
    <t>BQL thực hiện các CT MTQG xã Đăk Sao</t>
  </si>
  <si>
    <t>BQL thực hiện các CT MTQG xã Văn Xuôi</t>
  </si>
  <si>
    <t>BQL thực hiện các CT MTQG xã Đăk Na</t>
  </si>
  <si>
    <t>BQL thực hiện các CT MTQG xã Văn XuôI</t>
  </si>
  <si>
    <t>KH vốn kéo dài sang năm 2023</t>
  </si>
  <si>
    <t>KH vốn giao 2023</t>
  </si>
  <si>
    <t>Nguồn chuyển nguồn năm 2022 sang năm 2023 tiếp tục thực hiện</t>
  </si>
  <si>
    <t>4.8</t>
  </si>
  <si>
    <t>4.9</t>
  </si>
  <si>
    <t>4.10</t>
  </si>
  <si>
    <t>5.3</t>
  </si>
  <si>
    <t>5.4</t>
  </si>
  <si>
    <t>5.5</t>
  </si>
  <si>
    <t>5.6</t>
  </si>
  <si>
    <t>5.7</t>
  </si>
  <si>
    <t>5.8</t>
  </si>
  <si>
    <t>5.9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</si>
  <si>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</si>
  <si>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</si>
  <si>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</si>
  <si>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</si>
  <si>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</si>
  <si>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</si>
  <si>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</si>
  <si>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</si>
  <si>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</si>
  <si>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</si>
  <si>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</si>
  <si>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</si>
  <si>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</si>
  <si>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</si>
  <si>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</si>
  <si>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</si>
  <si>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</si>
  <si>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</si>
  <si>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</si>
  <si>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</si>
  <si>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</si>
  <si>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</si>
  <si>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</si>
  <si>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</si>
  <si>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</si>
  <si>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</si>
  <si>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</si>
  <si>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</si>
  <si>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</si>
  <si>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</si>
  <si>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</si>
  <si>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</si>
  <si>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</si>
  <si>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</si>
  <si>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</si>
  <si>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</si>
  <si>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</si>
  <si>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</si>
  <si>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</si>
  <si>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</si>
  <si>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 xml:space="preserve">Nguồn năm 2022 chuyển sang năm 2023 </t>
  </si>
  <si>
    <t>Vốn sự nghiệp năm 2023</t>
  </si>
  <si>
    <t>KP hoạt động khác cña địa phương- Xã Đăk Rơ Ông</t>
  </si>
  <si>
    <t>KP hoạt động khác cña địa phương -Xã Măng Ri</t>
  </si>
  <si>
    <t>Dự án 3:</t>
  </si>
  <si>
    <t xml:space="preserve">Dự án 4: </t>
  </si>
  <si>
    <t xml:space="preserve">Dự án 5: </t>
  </si>
  <si>
    <t xml:space="preserve">Dự án 8: </t>
  </si>
  <si>
    <t xml:space="preserve">Dự án 10: </t>
  </si>
  <si>
    <t>Dự án 1:</t>
  </si>
  <si>
    <t>Trung tâm VHTTDL và TT</t>
  </si>
  <si>
    <t>TỔNG (A) + (B)</t>
  </si>
  <si>
    <t>a)</t>
  </si>
  <si>
    <t>Chương trình MTQG Giảm nghèo bền vững năm 2023</t>
  </si>
  <si>
    <t>b)</t>
  </si>
  <si>
    <t>Giao KH năm 2023</t>
  </si>
  <si>
    <t>Trung tâm Văn hóa - Thể thảo - Du lịch và TT</t>
  </si>
  <si>
    <t>Phòng Văn hóa TT</t>
  </si>
  <si>
    <t>Dự án 5 - TDA 3 Phân bổ tập trung (phân bổ chi tiết khi đủ điều kiện)</t>
  </si>
  <si>
    <t>Chi đào tạo nâng cao năng lực đội ngũ cán bộ làm công tác xây dựng nông thôn mới các cấp, nâng cao nhận thức và chuyển đổi tư duy của người dân và cộng đồng</t>
  </si>
  <si>
    <t>Chương trình tăng cường bảo vệ môi trường, an toàn thực phẩm và cấp nước sạch nông thôn trong XD NTM</t>
  </si>
  <si>
    <t>Chương trình mục tiêu quốc gia xây dựng 
Nông thôn mới</t>
  </si>
  <si>
    <t>Trung tâm Môi trường và DV Đô thị</t>
  </si>
  <si>
    <t>CTMTQG XÂY DỰNG NÔNG THÔN MỚI</t>
  </si>
  <si>
    <t>CHƯƠNG TRÌNH MỤC TIÊU QUỐC GIA XÂY DỰNG
 NÔNG THÔN MỚI</t>
  </si>
  <si>
    <t>Phụ lục 02</t>
  </si>
  <si>
    <t>Giải ngân KH 2023</t>
  </si>
  <si>
    <t>Giải ngân KH năm 2022 chuyển sang năm 2023</t>
  </si>
  <si>
    <t>Kết quả thực hiện giải ngân 22/5/2023</t>
  </si>
  <si>
    <t>Tổng vốn</t>
  </si>
  <si>
    <t>(Kèm theo Báo cáo số         /BC-PTC ngày     /05/2023 của Phòng Tài chính - kế hoạch huyện)</t>
  </si>
  <si>
    <t>Thực hiện thanh toán
 giải ngân 22/5/2023</t>
  </si>
  <si>
    <t>Thực hiện giải ngân đến ngày 22/05/2023</t>
  </si>
  <si>
    <t xml:space="preserve">                                                                                                                                                                                                                                                                                                                                    </t>
  </si>
  <si>
    <t>Biểu số 04</t>
  </si>
  <si>
    <t>Biểu số 03</t>
  </si>
  <si>
    <t>Trung tâm VHTTDLTT</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</si>
</sst>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_-* #,##0.0_-;\-* #,##0.0_-;_-* &quot;-&quot;??_-;_-@_-"/>
    <numFmt numFmtId="368" formatCode="_-* #,##0.000_-;\-* #,##0.000_-;_-* &quot;-&quot;??_-;_-@_-"/>
  </numFmts>
  <fonts count="292">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sz val="12"/>
      <color theme="1"/>
      <name val="Arial Narrow"/>
      <family val="2"/>
    </font>
    <font>
      <b/>
      <sz val="12"/>
      <color rgb="FF000000"/>
      <name val="Times New Roman"/>
      <family val="1"/>
    </font>
    <font>
      <b/>
      <sz val="12"/>
      <color theme="1"/>
      <name val="Arial Narrow"/>
      <family val="2"/>
    </font>
    <font>
      <sz val="11"/>
      <color rgb="FF000000"/>
      <name val="Times New Roman"/>
      <family val="1"/>
    </font>
    <font>
      <sz val="13"/>
      <color theme="1"/>
      <name val="Arial Narrow"/>
      <family val="2"/>
    </font>
    <font>
      <b/>
      <sz val="13"/>
      <name val="Times New Roman"/>
      <family val="1"/>
    </font>
    <font>
      <b/>
      <i/>
      <sz val="12"/>
      <color theme="1"/>
      <name val="Times New Roman"/>
      <family val="1"/>
    </font>
    <font>
      <i/>
      <sz val="12"/>
      <color theme="1"/>
      <name val="Arial Narrow"/>
      <family val="2"/>
    </font>
    <font>
      <b/>
      <i/>
      <sz val="12"/>
      <color rgb="FF000000"/>
      <name val="Times New Roman"/>
      <family val="1"/>
    </font>
    <font>
      <i/>
      <sz val="11"/>
      <color rgb="FF000000"/>
      <name val="Times New Roman"/>
      <family val="1"/>
    </font>
    <font>
      <b/>
      <i/>
      <sz val="12"/>
      <name val="Times New Roman"/>
      <family val="1"/>
    </font>
    <font>
      <i/>
      <sz val="11"/>
      <name val="Times New Roman"/>
      <family val="1"/>
    </font>
    <font>
      <b/>
      <i/>
      <sz val="12"/>
      <color theme="1"/>
      <name val="Arial Narrow"/>
      <family val="2"/>
    </font>
    <font>
      <b/>
      <sz val="11"/>
      <color theme="1"/>
      <name val="Times New Roman"/>
      <family val="1"/>
    </font>
    <font>
      <sz val="11"/>
      <color rgb="FFFF0000"/>
      <name val="Times New Roman"/>
      <family val="1"/>
    </font>
    <font>
      <b/>
      <i/>
      <sz val="11"/>
      <name val="Times New Roman"/>
      <family val="1"/>
    </font>
    <font>
      <b/>
      <sz val="10"/>
      <color theme="1"/>
      <name val="Arial Narrow"/>
      <family val="2"/>
    </font>
    <font>
      <sz val="10"/>
      <color rgb="FFFF0000"/>
      <name val="Times New Roman"/>
      <family val="1"/>
    </font>
    <font>
      <i/>
      <sz val="12"/>
      <name val="Times New Roman"/>
      <family val="1"/>
    </font>
    <font>
      <i/>
      <sz val="13"/>
      <name val="Times New Roman"/>
      <family val="1"/>
    </font>
  </fonts>
  <fills count="7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7">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4"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168"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69"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68"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69"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8"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2"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9"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41" fontId="4" fillId="0" borderId="0" applyFont="0" applyFill="0" applyBorder="0" applyAlignment="0" applyProtection="0"/>
    <xf numFmtId="41" fontId="79" fillId="0" borderId="0" applyFont="0" applyFill="0" applyBorder="0" applyAlignment="0" applyProtection="0"/>
    <xf numFmtId="168"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69" fontId="13" fillId="0" borderId="0" applyFont="0" applyFill="0" applyBorder="0" applyAlignment="0" applyProtection="0"/>
    <xf numFmtId="41" fontId="80" fillId="0" borderId="0" applyFont="0" applyFill="0" applyBorder="0" applyAlignment="0" applyProtection="0"/>
    <xf numFmtId="168" fontId="1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8" fontId="70"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43" fontId="7" fillId="0" borderId="0" applyFont="0" applyFill="0" applyBorder="0" applyAlignment="0" applyProtection="0"/>
    <xf numFmtId="213" fontId="4"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4"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1"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9" fontId="54" fillId="0" borderId="0" applyFont="0" applyFill="0" applyBorder="0" applyAlignment="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4" fillId="0" borderId="0" applyFont="0" applyFill="0" applyBorder="0" applyAlignment="0" applyProtection="0"/>
    <xf numFmtId="254" fontId="83"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9" fontId="80" fillId="0" borderId="0" applyFont="0" applyFill="0" applyBorder="0" applyAlignment="0" applyProtection="0"/>
    <xf numFmtId="252" fontId="13" fillId="0" borderId="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69" fontId="4" fillId="0" borderId="0" applyFont="0" applyFill="0" applyBorder="0" applyAlignment="0" applyProtection="0"/>
    <xf numFmtId="169" fontId="13" fillId="0" borderId="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169"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255"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13" fillId="0" borderId="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8"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1" fontId="9" fillId="0" borderId="0"/>
    <xf numFmtId="282" fontId="15" fillId="0" borderId="1"/>
    <xf numFmtId="282" fontId="15" fillId="0" borderId="1"/>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3" fontId="15" fillId="0" borderId="0"/>
    <xf numFmtId="168" fontId="94" fillId="0" borderId="0" applyFont="0" applyFill="0" applyBorder="0" applyAlignment="0" applyProtection="0"/>
    <xf numFmtId="169"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68" fontId="94" fillId="0" borderId="0" applyFont="0" applyFill="0" applyBorder="0" applyAlignment="0" applyProtection="0"/>
    <xf numFmtId="168"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96" fillId="0" borderId="0" applyNumberFormat="0" applyAlignment="0">
      <alignment horizontal="left"/>
    </xf>
    <xf numFmtId="0" fontId="97" fillId="0" borderId="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68"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68"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8" fontId="49" fillId="0" borderId="0" applyFont="0" applyFill="0" applyBorder="0" applyAlignment="0" applyProtection="0"/>
    <xf numFmtId="169" fontId="49" fillId="0" borderId="0" applyFont="0" applyFill="0" applyBorder="0" applyAlignment="0" applyProtection="0"/>
    <xf numFmtId="0" fontId="133" fillId="0" borderId="23"/>
    <xf numFmtId="0" fontId="134" fillId="0" borderId="23"/>
    <xf numFmtId="174" fontId="49" fillId="0" borderId="10"/>
    <xf numFmtId="174"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68"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226" fontId="49"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6" fontId="49"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0" fontId="31" fillId="0" borderId="0" applyFont="0" applyFill="0" applyBorder="0" applyAlignment="0" applyProtection="0"/>
    <xf numFmtId="168"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0" fontId="4" fillId="0" borderId="3">
      <alignment horizontal="right" vertical="center"/>
    </xf>
    <xf numFmtId="320" fontId="4"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68"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2" fontId="4" fillId="0" borderId="0" applyFont="0" applyFill="0" applyBorder="0" applyAlignment="0" applyProtection="0"/>
    <xf numFmtId="333" fontId="4"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68"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4" fillId="0" borderId="0" applyFont="0" applyFill="0" applyBorder="0" applyAlignment="0" applyProtection="0"/>
    <xf numFmtId="228" fontId="4" fillId="0" borderId="0" applyFont="0" applyFill="0" applyBorder="0" applyAlignment="0" applyProtection="0"/>
    <xf numFmtId="0" fontId="142" fillId="0" borderId="0"/>
    <xf numFmtId="0" fontId="142" fillId="0" borderId="0"/>
    <xf numFmtId="0" fontId="222" fillId="0" borderId="0"/>
    <xf numFmtId="0" fontId="34" fillId="0" borderId="0"/>
    <xf numFmtId="168" fontId="13" fillId="0" borderId="0" applyFont="0" applyFill="0" applyBorder="0" applyAlignment="0" applyProtection="0"/>
    <xf numFmtId="169"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4" fillId="0" borderId="0" applyFont="0" applyFill="0" applyBorder="0" applyAlignment="0" applyProtection="0"/>
    <xf numFmtId="337" fontId="4"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5"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4"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70"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68"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4" fillId="0" borderId="0" applyFont="0" applyFill="0" applyBorder="0" applyAlignment="0" applyProtection="0"/>
    <xf numFmtId="0" fontId="4" fillId="0" borderId="0" applyFont="0" applyFill="0" applyBorder="0" applyAlignment="0" applyProtection="0"/>
    <xf numFmtId="356" fontId="4"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19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9" fillId="0" borderId="0" applyFont="0" applyFill="0" applyBorder="0" applyAlignment="0" applyProtection="0"/>
    <xf numFmtId="43" fontId="4"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1"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43" fontId="5"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69"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43" fontId="83" fillId="0" borderId="0" applyFont="0" applyFill="0" applyBorder="0" applyAlignment="0" applyProtection="0"/>
    <xf numFmtId="0" fontId="9" fillId="0" borderId="0" applyFont="0" applyFill="0" applyBorder="0" applyAlignment="0" applyProtection="0"/>
    <xf numFmtId="43" fontId="2" fillId="0" borderId="0" applyFont="0" applyFill="0" applyBorder="0" applyAlignment="0" applyProtection="0"/>
    <xf numFmtId="0" fontId="2" fillId="0" borderId="0"/>
    <xf numFmtId="0" fontId="228" fillId="0" borderId="0"/>
    <xf numFmtId="0" fontId="4" fillId="0" borderId="0"/>
    <xf numFmtId="0" fontId="1" fillId="0" borderId="0"/>
  </cellStyleXfs>
  <cellXfs count="709">
    <xf numFmtId="0" fontId="0" fillId="0" borderId="0" xfId="0"/>
    <xf numFmtId="0" fontId="259" fillId="0" borderId="0" xfId="0" applyFont="1" applyAlignment="1">
      <alignment vertical="center"/>
    </xf>
    <xf numFmtId="0" fontId="262" fillId="66" borderId="0" xfId="0" applyFont="1" applyFill="1" applyAlignment="1">
      <alignment vertical="center"/>
    </xf>
    <xf numFmtId="0" fontId="262" fillId="66" borderId="0" xfId="0" applyFont="1" applyFill="1" applyAlignment="1">
      <alignment vertical="center" wrapText="1"/>
    </xf>
    <xf numFmtId="0" fontId="260" fillId="0" borderId="0" xfId="0" applyFont="1"/>
    <xf numFmtId="0" fontId="263" fillId="0" borderId="51" xfId="0" applyFont="1" applyBorder="1" applyAlignment="1">
      <alignment horizontal="center" vertical="center" wrapText="1"/>
    </xf>
    <xf numFmtId="0" fontId="261" fillId="0" borderId="61" xfId="0" applyFont="1" applyFill="1" applyBorder="1" applyAlignment="1">
      <alignment horizontal="center" vertical="center" wrapText="1"/>
    </xf>
    <xf numFmtId="0" fontId="261" fillId="0" borderId="10" xfId="0" applyFont="1" applyFill="1" applyBorder="1" applyAlignment="1">
      <alignment horizontal="center" vertical="center" wrapText="1"/>
    </xf>
    <xf numFmtId="3" fontId="261" fillId="0" borderId="21" xfId="0" applyNumberFormat="1" applyFont="1" applyFill="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Fill="1" applyBorder="1" applyAlignment="1">
      <alignment horizontal="center" vertical="center" wrapText="1"/>
    </xf>
    <xf numFmtId="243" fontId="260" fillId="0" borderId="0" xfId="20514" applyNumberFormat="1" applyFont="1"/>
    <xf numFmtId="0" fontId="83" fillId="0" borderId="0" xfId="0" applyFont="1" applyFill="1" applyAlignment="1">
      <alignment vertical="center"/>
    </xf>
    <xf numFmtId="0" fontId="264" fillId="0" borderId="0" xfId="0" applyFont="1" applyFill="1" applyAlignment="1">
      <alignment vertical="center"/>
    </xf>
    <xf numFmtId="0" fontId="83" fillId="0" borderId="0" xfId="0" applyFont="1" applyFill="1"/>
    <xf numFmtId="169" fontId="83" fillId="0" borderId="0" xfId="20514" applyFont="1" applyFill="1"/>
    <xf numFmtId="367" fontId="83" fillId="0" borderId="0" xfId="20514" applyNumberFormat="1" applyFont="1" applyFill="1"/>
    <xf numFmtId="243" fontId="83" fillId="0" borderId="68" xfId="20514" applyNumberFormat="1" applyFont="1" applyFill="1" applyBorder="1" applyAlignment="1">
      <alignment horizontal="right" vertical="center" wrapText="1"/>
    </xf>
    <xf numFmtId="169" fontId="83" fillId="0" borderId="68" xfId="20514" applyFont="1" applyFill="1" applyBorder="1" applyAlignment="1">
      <alignment horizontal="right" vertical="center" wrapText="1"/>
    </xf>
    <xf numFmtId="0" fontId="0" fillId="0" borderId="0" xfId="0" applyFont="1"/>
    <xf numFmtId="0" fontId="83" fillId="66" borderId="0" xfId="0" applyFont="1" applyFill="1" applyAlignment="1">
      <alignment vertical="center"/>
    </xf>
    <xf numFmtId="0" fontId="81" fillId="66" borderId="0" xfId="0" applyFont="1" applyFill="1" applyAlignment="1">
      <alignment vertical="center"/>
    </xf>
    <xf numFmtId="0" fontId="268" fillId="66" borderId="0" xfId="0" applyFont="1" applyFill="1" applyAlignment="1">
      <alignment vertical="center"/>
    </xf>
    <xf numFmtId="0" fontId="83" fillId="66" borderId="0" xfId="0" applyFont="1" applyFill="1"/>
    <xf numFmtId="3" fontId="264" fillId="0" borderId="70" xfId="20518" applyNumberFormat="1" applyFont="1" applyBorder="1" applyAlignment="1">
      <alignment vertical="center" wrapText="1"/>
    </xf>
    <xf numFmtId="0" fontId="269" fillId="0" borderId="73" xfId="0" applyFont="1" applyBorder="1" applyAlignment="1">
      <alignment vertical="center"/>
    </xf>
    <xf numFmtId="0" fontId="264" fillId="66" borderId="0" xfId="0" applyFont="1" applyFill="1"/>
    <xf numFmtId="3" fontId="264" fillId="0" borderId="68" xfId="20518" applyNumberFormat="1" applyFont="1" applyBorder="1" applyAlignment="1">
      <alignment horizontal="center" vertical="center" wrapText="1"/>
    </xf>
    <xf numFmtId="3" fontId="83" fillId="0" borderId="68" xfId="20518" applyNumberFormat="1" applyFont="1" applyBorder="1" applyAlignment="1">
      <alignment horizontal="center" vertical="center" wrapText="1"/>
    </xf>
    <xf numFmtId="0" fontId="264" fillId="0" borderId="68" xfId="20518" applyFont="1" applyBorder="1" applyAlignment="1">
      <alignment horizontal="center" vertical="center" wrapText="1"/>
    </xf>
    <xf numFmtId="3" fontId="264" fillId="0" borderId="68" xfId="20518" quotePrefix="1" applyNumberFormat="1" applyFont="1" applyBorder="1" applyAlignment="1">
      <alignment horizontal="center" vertical="center" wrapText="1"/>
    </xf>
    <xf numFmtId="3" fontId="111" fillId="0" borderId="68" xfId="20518" quotePrefix="1" applyNumberFormat="1" applyFont="1" applyBorder="1" applyAlignment="1">
      <alignment horizontal="center" vertical="center" wrapText="1"/>
    </xf>
    <xf numFmtId="0" fontId="270" fillId="0" borderId="68" xfId="20518" applyFont="1" applyBorder="1" applyAlignment="1">
      <alignment horizontal="center" vertical="center" wrapText="1"/>
    </xf>
    <xf numFmtId="0" fontId="83" fillId="66" borderId="68" xfId="0" quotePrefix="1" applyFont="1" applyFill="1" applyBorder="1" applyAlignment="1">
      <alignment horizontal="center" vertical="center"/>
    </xf>
    <xf numFmtId="1" fontId="83" fillId="66" borderId="68" xfId="20525" applyNumberFormat="1" applyFont="1" applyFill="1" applyBorder="1" applyAlignment="1">
      <alignment vertical="center" wrapText="1"/>
    </xf>
    <xf numFmtId="0" fontId="81" fillId="0" borderId="68" xfId="0" applyFont="1" applyBorder="1" applyAlignment="1">
      <alignment horizontal="center" vertical="center" wrapText="1"/>
    </xf>
    <xf numFmtId="0" fontId="83" fillId="66" borderId="68" xfId="0" applyFont="1" applyFill="1" applyBorder="1" applyAlignment="1">
      <alignment horizontal="center" vertical="center"/>
    </xf>
    <xf numFmtId="0" fontId="83" fillId="0" borderId="68" xfId="0" applyFont="1" applyBorder="1" applyAlignment="1">
      <alignment horizontal="center" vertical="center"/>
    </xf>
    <xf numFmtId="0" fontId="81" fillId="0" borderId="68" xfId="0" applyFont="1" applyBorder="1" applyAlignment="1">
      <alignment horizontal="center" vertical="center"/>
    </xf>
    <xf numFmtId="0" fontId="268" fillId="0" borderId="68" xfId="0" applyFont="1" applyBorder="1" applyAlignment="1">
      <alignment vertical="center" wrapText="1"/>
    </xf>
    <xf numFmtId="175" fontId="83" fillId="0" borderId="68" xfId="20514" applyNumberFormat="1" applyFont="1" applyFill="1" applyBorder="1" applyAlignment="1">
      <alignment horizontal="center" vertical="center" wrapText="1"/>
    </xf>
    <xf numFmtId="0" fontId="83" fillId="66" borderId="68" xfId="0" applyFont="1" applyFill="1" applyBorder="1" applyAlignment="1">
      <alignment vertical="center"/>
    </xf>
    <xf numFmtId="355" fontId="83" fillId="66" borderId="68" xfId="0" applyNumberFormat="1" applyFont="1" applyFill="1" applyBorder="1" applyAlignment="1">
      <alignment horizontal="left" vertical="center" wrapText="1"/>
    </xf>
    <xf numFmtId="0" fontId="264" fillId="66" borderId="68" xfId="0" applyFont="1" applyFill="1" applyBorder="1" applyAlignment="1">
      <alignment vertical="center"/>
    </xf>
    <xf numFmtId="0" fontId="264" fillId="66" borderId="68" xfId="0" applyFont="1" applyFill="1" applyBorder="1" applyAlignment="1">
      <alignment horizontal="center" vertical="center"/>
    </xf>
    <xf numFmtId="0" fontId="83" fillId="0" borderId="68" xfId="20526" applyFont="1" applyBorder="1" applyAlignment="1">
      <alignment vertical="center" wrapText="1"/>
    </xf>
    <xf numFmtId="0" fontId="81" fillId="66" borderId="68" xfId="0" applyFont="1" applyFill="1" applyBorder="1" applyAlignment="1">
      <alignment horizontal="center" vertical="center"/>
    </xf>
    <xf numFmtId="0" fontId="268" fillId="66" borderId="68" xfId="0" applyFont="1" applyFill="1" applyBorder="1" applyAlignment="1">
      <alignment vertical="center"/>
    </xf>
    <xf numFmtId="0" fontId="264" fillId="66" borderId="68" xfId="0" applyFont="1" applyFill="1" applyBorder="1" applyAlignment="1">
      <alignment horizontal="center" vertical="center" wrapText="1"/>
    </xf>
    <xf numFmtId="0" fontId="111" fillId="66" borderId="68" xfId="0" applyFont="1" applyFill="1" applyBorder="1" applyAlignment="1">
      <alignment horizontal="center" vertical="center"/>
    </xf>
    <xf numFmtId="0" fontId="270" fillId="66" borderId="68" xfId="0" applyFont="1" applyFill="1" applyBorder="1" applyAlignment="1">
      <alignment horizontal="center" vertical="center"/>
    </xf>
    <xf numFmtId="175" fontId="264" fillId="66" borderId="68" xfId="0" applyNumberFormat="1" applyFont="1" applyFill="1" applyBorder="1" applyAlignment="1">
      <alignment horizontal="center" vertical="center"/>
    </xf>
    <xf numFmtId="0" fontId="83" fillId="66" borderId="68" xfId="0" applyFont="1" applyFill="1" applyBorder="1" applyAlignment="1">
      <alignment vertical="center" wrapText="1"/>
    </xf>
    <xf numFmtId="0" fontId="81" fillId="66" borderId="68" xfId="0" applyFont="1" applyFill="1" applyBorder="1" applyAlignment="1">
      <alignment horizontal="center" vertical="center" wrapText="1"/>
    </xf>
    <xf numFmtId="1" fontId="83" fillId="66" borderId="68" xfId="20518" applyNumberFormat="1" applyFont="1" applyFill="1" applyBorder="1" applyAlignment="1">
      <alignment horizontal="center" vertical="center" wrapText="1"/>
    </xf>
    <xf numFmtId="1" fontId="83" fillId="0" borderId="68" xfId="20518" applyNumberFormat="1" applyFont="1" applyBorder="1" applyAlignment="1">
      <alignment horizontal="center" vertical="center" wrapText="1"/>
    </xf>
    <xf numFmtId="175" fontId="83" fillId="66" borderId="68" xfId="1599" applyNumberFormat="1" applyFont="1" applyFill="1" applyBorder="1" applyAlignment="1">
      <alignment horizontal="right" vertical="center" wrapText="1"/>
    </xf>
    <xf numFmtId="0" fontId="83" fillId="0" borderId="68" xfId="0" applyFont="1" applyBorder="1" applyAlignment="1">
      <alignment horizontal="center" vertical="center" wrapText="1"/>
    </xf>
    <xf numFmtId="3" fontId="83" fillId="66" borderId="68" xfId="20518" applyNumberFormat="1" applyFont="1" applyFill="1" applyBorder="1" applyAlignment="1">
      <alignment horizontal="left" vertical="center" wrapText="1"/>
    </xf>
    <xf numFmtId="0" fontId="83" fillId="66" borderId="68" xfId="0" applyFont="1" applyFill="1" applyBorder="1" applyAlignment="1">
      <alignment horizontal="center" vertical="center" wrapText="1"/>
    </xf>
    <xf numFmtId="0" fontId="268" fillId="66" borderId="68" xfId="0" applyFont="1" applyFill="1" applyBorder="1" applyAlignment="1">
      <alignment vertical="center" wrapText="1"/>
    </xf>
    <xf numFmtId="3" fontId="83" fillId="66" borderId="68" xfId="0" applyNumberFormat="1" applyFont="1" applyFill="1" applyBorder="1" applyAlignment="1">
      <alignment horizontal="right" vertical="center" wrapText="1"/>
    </xf>
    <xf numFmtId="0" fontId="264" fillId="66" borderId="68" xfId="0" quotePrefix="1" applyFont="1" applyFill="1" applyBorder="1" applyAlignment="1">
      <alignment horizontal="center" vertical="center"/>
    </xf>
    <xf numFmtId="3" fontId="264" fillId="66" borderId="68" xfId="20518" applyNumberFormat="1" applyFont="1" applyFill="1" applyBorder="1" applyAlignment="1">
      <alignment horizontal="center" vertical="center" wrapText="1"/>
    </xf>
    <xf numFmtId="0" fontId="111" fillId="66" borderId="68" xfId="0" applyFont="1" applyFill="1" applyBorder="1" applyAlignment="1">
      <alignment horizontal="center" vertical="center" wrapText="1"/>
    </xf>
    <xf numFmtId="1" fontId="264" fillId="66" borderId="68" xfId="20518" applyNumberFormat="1" applyFont="1" applyFill="1" applyBorder="1" applyAlignment="1">
      <alignment horizontal="center" vertical="center" wrapText="1"/>
    </xf>
    <xf numFmtId="175" fontId="264" fillId="66" borderId="68" xfId="1599" applyNumberFormat="1" applyFont="1" applyFill="1" applyBorder="1" applyAlignment="1">
      <alignment horizontal="center" vertical="center" wrapText="1"/>
    </xf>
    <xf numFmtId="0" fontId="264" fillId="66" borderId="0" xfId="0" applyFont="1" applyFill="1" applyAlignment="1">
      <alignment horizontal="center" vertical="center"/>
    </xf>
    <xf numFmtId="1" fontId="83" fillId="66" borderId="68" xfId="20518" applyNumberFormat="1" applyFont="1" applyFill="1" applyBorder="1" applyAlignment="1">
      <alignment vertical="center" wrapText="1"/>
    </xf>
    <xf numFmtId="1" fontId="83" fillId="66" borderId="68" xfId="20518" applyNumberFormat="1" applyFont="1" applyFill="1" applyBorder="1" applyAlignment="1">
      <alignment horizontal="left" vertical="center" wrapText="1"/>
    </xf>
    <xf numFmtId="1" fontId="83" fillId="66" borderId="68" xfId="20518" applyNumberFormat="1" applyFont="1" applyFill="1" applyBorder="1" applyAlignment="1">
      <alignment horizontal="left" vertical="center"/>
    </xf>
    <xf numFmtId="0" fontId="83" fillId="0" borderId="68" xfId="0" quotePrefix="1" applyFont="1" applyBorder="1" applyAlignment="1">
      <alignment horizontal="center" vertical="center"/>
    </xf>
    <xf numFmtId="0" fontId="83" fillId="0" borderId="68" xfId="0" applyFont="1" applyBorder="1" applyAlignment="1">
      <alignment horizontal="left" vertical="center" wrapText="1"/>
    </xf>
    <xf numFmtId="175" fontId="83" fillId="0" borderId="68" xfId="1599" applyNumberFormat="1" applyFont="1" applyFill="1" applyBorder="1" applyAlignment="1">
      <alignment horizontal="right" vertical="center" wrapText="1"/>
    </xf>
    <xf numFmtId="0" fontId="83" fillId="0" borderId="68" xfId="0" applyFont="1" applyBorder="1" applyAlignment="1">
      <alignment vertical="center"/>
    </xf>
    <xf numFmtId="0" fontId="83" fillId="0" borderId="0" xfId="0" applyFont="1"/>
    <xf numFmtId="3" fontId="83" fillId="66" borderId="68" xfId="20518" applyNumberFormat="1" applyFont="1" applyFill="1" applyBorder="1" applyAlignment="1">
      <alignment horizontal="center" vertical="center" wrapText="1"/>
    </xf>
    <xf numFmtId="3" fontId="83" fillId="66" borderId="68" xfId="20518" quotePrefix="1" applyNumberFormat="1" applyFont="1" applyFill="1" applyBorder="1" applyAlignment="1">
      <alignment horizontal="center" vertical="center" wrapText="1"/>
    </xf>
    <xf numFmtId="355" fontId="83" fillId="66" borderId="68" xfId="0" applyNumberFormat="1" applyFont="1" applyFill="1" applyBorder="1" applyAlignment="1">
      <alignment horizontal="center" vertical="center" wrapText="1"/>
    </xf>
    <xf numFmtId="0" fontId="36" fillId="0" borderId="68" xfId="0" applyFont="1" applyBorder="1" applyAlignment="1">
      <alignment horizontal="center" vertical="center"/>
    </xf>
    <xf numFmtId="0" fontId="81" fillId="0" borderId="68" xfId="0" quotePrefix="1" applyFont="1" applyBorder="1" applyAlignment="1">
      <alignment horizontal="center" vertical="center" wrapText="1"/>
    </xf>
    <xf numFmtId="0" fontId="268" fillId="0" borderId="75" xfId="0" applyFont="1" applyBorder="1" applyAlignment="1">
      <alignment horizontal="center" vertical="center" wrapText="1"/>
    </xf>
    <xf numFmtId="0" fontId="264" fillId="66" borderId="68" xfId="0" applyFont="1" applyFill="1" applyBorder="1" applyAlignment="1">
      <alignment horizontal="left" vertical="center" wrapText="1"/>
    </xf>
    <xf numFmtId="243" fontId="264" fillId="66" borderId="68" xfId="0" applyNumberFormat="1" applyFont="1" applyFill="1" applyBorder="1" applyAlignment="1">
      <alignment horizontal="center" vertical="center"/>
    </xf>
    <xf numFmtId="169" fontId="264" fillId="66" borderId="68" xfId="20514" applyFont="1" applyFill="1" applyBorder="1" applyAlignment="1">
      <alignment horizontal="center" vertical="center"/>
    </xf>
    <xf numFmtId="0" fontId="264" fillId="66" borderId="68" xfId="0" applyFont="1" applyFill="1" applyBorder="1" applyAlignment="1">
      <alignment vertical="center" wrapText="1"/>
    </xf>
    <xf numFmtId="0" fontId="111" fillId="66" borderId="68" xfId="0" applyFont="1" applyFill="1" applyBorder="1" applyAlignment="1">
      <alignment vertical="center"/>
    </xf>
    <xf numFmtId="0" fontId="270" fillId="66" borderId="68" xfId="0" applyFont="1" applyFill="1" applyBorder="1" applyAlignment="1">
      <alignment vertical="center"/>
    </xf>
    <xf numFmtId="243" fontId="264" fillId="66" borderId="68" xfId="0" applyNumberFormat="1" applyFont="1" applyFill="1" applyBorder="1" applyAlignment="1">
      <alignment vertical="center"/>
    </xf>
    <xf numFmtId="0" fontId="264" fillId="66" borderId="68" xfId="0" quotePrefix="1" applyFont="1" applyFill="1" applyBorder="1" applyAlignment="1">
      <alignment horizontal="center" vertical="center" wrapText="1"/>
    </xf>
    <xf numFmtId="0" fontId="81" fillId="66" borderId="68" xfId="0" applyFont="1" applyFill="1" applyBorder="1" applyAlignment="1">
      <alignment vertical="center"/>
    </xf>
    <xf numFmtId="169" fontId="264" fillId="66" borderId="68" xfId="20514" applyFont="1" applyFill="1" applyBorder="1" applyAlignment="1">
      <alignment horizontal="right" vertical="center" wrapText="1"/>
    </xf>
    <xf numFmtId="0" fontId="83" fillId="66" borderId="68" xfId="0" quotePrefix="1" applyFont="1" applyFill="1" applyBorder="1" applyAlignment="1">
      <alignment horizontal="center" vertical="center" wrapText="1"/>
    </xf>
    <xf numFmtId="169" fontId="83" fillId="66" borderId="68" xfId="20514" applyFont="1" applyFill="1" applyBorder="1" applyAlignment="1">
      <alignment horizontal="right" vertical="center" wrapText="1"/>
    </xf>
    <xf numFmtId="167" fontId="83" fillId="66" borderId="68" xfId="0" applyNumberFormat="1" applyFont="1" applyFill="1" applyBorder="1" applyAlignment="1">
      <alignment vertical="center"/>
    </xf>
    <xf numFmtId="0" fontId="81" fillId="0" borderId="68" xfId="20517" applyFont="1" applyBorder="1" applyAlignment="1">
      <alignment horizontal="justify" vertical="center" wrapText="1"/>
    </xf>
    <xf numFmtId="0" fontId="264" fillId="66" borderId="68" xfId="0" quotePrefix="1" applyFont="1" applyFill="1" applyBorder="1" applyAlignment="1">
      <alignment vertical="center" wrapText="1"/>
    </xf>
    <xf numFmtId="0" fontId="268" fillId="0" borderId="68" xfId="0" quotePrefix="1" applyFont="1" applyBorder="1" applyAlignment="1">
      <alignment horizontal="center" vertical="center" wrapText="1"/>
    </xf>
    <xf numFmtId="243" fontId="83" fillId="66" borderId="68" xfId="20514" applyNumberFormat="1" applyFont="1" applyFill="1" applyBorder="1" applyAlignment="1">
      <alignment horizontal="center" vertical="center" wrapText="1"/>
    </xf>
    <xf numFmtId="169" fontId="83" fillId="66" borderId="68" xfId="0" applyNumberFormat="1" applyFont="1" applyFill="1" applyBorder="1" applyAlignment="1">
      <alignment horizontal="center" vertical="center"/>
    </xf>
    <xf numFmtId="169" fontId="83" fillId="66" borderId="68" xfId="20514" applyFont="1" applyFill="1" applyBorder="1" applyAlignment="1">
      <alignment horizontal="center" vertical="center"/>
    </xf>
    <xf numFmtId="0" fontId="83" fillId="66" borderId="0" xfId="0" applyFont="1" applyFill="1" applyAlignment="1">
      <alignment horizontal="center" vertical="center"/>
    </xf>
    <xf numFmtId="0" fontId="268" fillId="66" borderId="68" xfId="0" applyFont="1" applyFill="1" applyBorder="1" applyAlignment="1">
      <alignment horizontal="center" vertical="center" wrapText="1"/>
    </xf>
    <xf numFmtId="243" fontId="83" fillId="66" borderId="68" xfId="20514" applyNumberFormat="1" applyFont="1" applyFill="1" applyBorder="1" applyAlignment="1">
      <alignment horizontal="right" vertical="center" wrapText="1"/>
    </xf>
    <xf numFmtId="0" fontId="83" fillId="66" borderId="68" xfId="0" quotePrefix="1" applyFont="1" applyFill="1" applyBorder="1" applyAlignment="1">
      <alignment vertical="center" wrapText="1"/>
    </xf>
    <xf numFmtId="0" fontId="83" fillId="66" borderId="68" xfId="20517" applyFont="1" applyFill="1" applyBorder="1" applyAlignment="1">
      <alignment horizontal="center" vertical="center" wrapText="1"/>
    </xf>
    <xf numFmtId="0" fontId="83" fillId="0" borderId="68" xfId="20517" applyFont="1" applyBorder="1" applyAlignment="1">
      <alignment horizontal="center" vertical="center" wrapText="1"/>
    </xf>
    <xf numFmtId="243" fontId="83" fillId="66" borderId="68" xfId="0" applyNumberFormat="1" applyFont="1" applyFill="1" applyBorder="1" applyAlignment="1">
      <alignment vertical="center"/>
    </xf>
    <xf numFmtId="169" fontId="264" fillId="66" borderId="68" xfId="20514" applyFont="1" applyFill="1" applyBorder="1" applyAlignment="1">
      <alignment vertical="center"/>
    </xf>
    <xf numFmtId="0" fontId="83" fillId="0" borderId="68" xfId="0" quotePrefix="1" applyFont="1" applyBorder="1" applyAlignment="1">
      <alignment vertical="center" wrapText="1"/>
    </xf>
    <xf numFmtId="0" fontId="81" fillId="0" borderId="68" xfId="0" applyFont="1" applyBorder="1" applyAlignment="1">
      <alignment vertical="center"/>
    </xf>
    <xf numFmtId="167" fontId="83" fillId="0" borderId="68" xfId="0" applyNumberFormat="1" applyFont="1" applyBorder="1" applyAlignment="1">
      <alignment vertical="center"/>
    </xf>
    <xf numFmtId="0" fontId="81" fillId="66" borderId="68" xfId="0" applyFont="1" applyFill="1" applyBorder="1" applyAlignment="1">
      <alignment vertical="center" wrapText="1"/>
    </xf>
    <xf numFmtId="0" fontId="268" fillId="0" borderId="68" xfId="0" applyFont="1" applyBorder="1" applyAlignment="1">
      <alignment horizontal="center" vertical="center" wrapText="1"/>
    </xf>
    <xf numFmtId="0" fontId="264" fillId="66" borderId="68" xfId="0" quotePrefix="1" applyFont="1" applyFill="1" applyBorder="1" applyAlignment="1">
      <alignment vertical="center"/>
    </xf>
    <xf numFmtId="0" fontId="83" fillId="66" borderId="68" xfId="0" quotePrefix="1" applyFont="1" applyFill="1" applyBorder="1" applyAlignment="1">
      <alignment vertical="center"/>
    </xf>
    <xf numFmtId="0" fontId="111" fillId="66" borderId="68" xfId="0" applyFont="1" applyFill="1" applyBorder="1" applyAlignment="1">
      <alignment vertical="center" wrapText="1"/>
    </xf>
    <xf numFmtId="169" fontId="83" fillId="66" borderId="68" xfId="0" applyNumberFormat="1" applyFont="1" applyFill="1" applyBorder="1" applyAlignment="1">
      <alignment vertical="center"/>
    </xf>
    <xf numFmtId="0" fontId="83" fillId="66" borderId="8" xfId="0" applyFont="1" applyFill="1" applyBorder="1" applyAlignment="1">
      <alignment vertical="center"/>
    </xf>
    <xf numFmtId="0" fontId="83" fillId="0" borderId="0" xfId="0" applyFont="1" applyFill="1" applyAlignment="1">
      <alignment horizontal="center"/>
    </xf>
    <xf numFmtId="0" fontId="81" fillId="0" borderId="68" xfId="20517" applyFont="1" applyBorder="1" applyAlignment="1">
      <alignment horizontal="center" vertical="center" wrapText="1"/>
    </xf>
    <xf numFmtId="175" fontId="36" fillId="66" borderId="68" xfId="0" applyNumberFormat="1" applyFont="1" applyFill="1" applyBorder="1" applyAlignment="1">
      <alignment horizontal="center" vertical="center"/>
    </xf>
    <xf numFmtId="169" fontId="83" fillId="66" borderId="68" xfId="20514" applyFont="1" applyFill="1" applyBorder="1" applyAlignment="1">
      <alignment vertical="center"/>
    </xf>
    <xf numFmtId="169" fontId="83" fillId="0" borderId="68" xfId="20514" applyFont="1" applyBorder="1" applyAlignment="1">
      <alignment vertical="center"/>
    </xf>
    <xf numFmtId="169" fontId="36" fillId="66" borderId="68" xfId="20514" applyFont="1" applyFill="1" applyBorder="1" applyAlignment="1">
      <alignment horizontal="center" vertical="center"/>
    </xf>
    <xf numFmtId="0" fontId="264" fillId="67" borderId="68" xfId="0" applyFont="1" applyFill="1" applyBorder="1" applyAlignment="1">
      <alignment horizontal="center" vertical="center"/>
    </xf>
    <xf numFmtId="0" fontId="264" fillId="67" borderId="68" xfId="0" applyFont="1" applyFill="1" applyBorder="1" applyAlignment="1">
      <alignment horizontal="center" vertical="center" wrapText="1"/>
    </xf>
    <xf numFmtId="0" fontId="111" fillId="67" borderId="68" xfId="0" applyFont="1" applyFill="1" applyBorder="1" applyAlignment="1">
      <alignment horizontal="center" vertical="center"/>
    </xf>
    <xf numFmtId="0" fontId="270" fillId="67" borderId="68" xfId="0" applyFont="1" applyFill="1" applyBorder="1" applyAlignment="1">
      <alignment horizontal="center" vertical="center"/>
    </xf>
    <xf numFmtId="175" fontId="264" fillId="67" borderId="68" xfId="0" applyNumberFormat="1" applyFont="1" applyFill="1" applyBorder="1" applyAlignment="1">
      <alignment horizontal="center" vertical="center"/>
    </xf>
    <xf numFmtId="169" fontId="264" fillId="67" borderId="68" xfId="20514" applyFont="1" applyFill="1" applyBorder="1" applyAlignment="1">
      <alignment horizontal="center" vertical="center"/>
    </xf>
    <xf numFmtId="0" fontId="81" fillId="66" borderId="76" xfId="0" applyFont="1" applyFill="1" applyBorder="1" applyAlignment="1">
      <alignment horizontal="center" vertical="center" wrapText="1"/>
    </xf>
    <xf numFmtId="0" fontId="264" fillId="66" borderId="76" xfId="20516" applyFont="1" applyFill="1" applyBorder="1" applyAlignment="1">
      <alignment horizontal="center" vertical="center" wrapText="1"/>
    </xf>
    <xf numFmtId="0" fontId="272" fillId="0" borderId="0" xfId="0" applyFont="1"/>
    <xf numFmtId="0" fontId="83" fillId="66" borderId="76" xfId="0" applyFont="1" applyFill="1" applyBorder="1" applyAlignment="1">
      <alignment horizontal="center" vertical="center" wrapText="1"/>
    </xf>
    <xf numFmtId="169" fontId="264" fillId="0" borderId="76" xfId="20514" applyNumberFormat="1" applyFont="1" applyFill="1" applyBorder="1" applyAlignment="1">
      <alignment horizontal="center" vertical="center" wrapText="1"/>
    </xf>
    <xf numFmtId="3" fontId="269" fillId="66" borderId="76" xfId="20514" applyNumberFormat="1" applyFont="1" applyFill="1" applyBorder="1" applyAlignment="1">
      <alignment horizontal="right" vertical="center"/>
    </xf>
    <xf numFmtId="0" fontId="269" fillId="66" borderId="76" xfId="0" applyFont="1" applyFill="1" applyBorder="1" applyAlignment="1">
      <alignment horizontal="center" vertical="center"/>
    </xf>
    <xf numFmtId="0" fontId="269" fillId="66" borderId="76" xfId="0" applyFont="1" applyFill="1" applyBorder="1" applyAlignment="1">
      <alignment vertical="center" wrapText="1"/>
    </xf>
    <xf numFmtId="0" fontId="83" fillId="66" borderId="76" xfId="0" quotePrefix="1" applyFont="1" applyFill="1" applyBorder="1" applyAlignment="1">
      <alignment horizontal="center" vertical="center"/>
    </xf>
    <xf numFmtId="1" fontId="83" fillId="66" borderId="76" xfId="20518" applyNumberFormat="1" applyFont="1" applyFill="1" applyBorder="1" applyAlignment="1">
      <alignment vertical="center" wrapText="1"/>
    </xf>
    <xf numFmtId="3" fontId="83" fillId="66" borderId="76" xfId="20514" applyNumberFormat="1" applyFont="1" applyFill="1" applyBorder="1" applyAlignment="1">
      <alignment horizontal="right" vertical="center"/>
    </xf>
    <xf numFmtId="0" fontId="83" fillId="66" borderId="76" xfId="0" applyFont="1" applyFill="1" applyBorder="1" applyAlignment="1">
      <alignment horizontal="left" vertical="center" wrapText="1"/>
    </xf>
    <xf numFmtId="0" fontId="227" fillId="66" borderId="76" xfId="0" applyFont="1" applyFill="1" applyBorder="1" applyAlignment="1">
      <alignment horizontal="center" vertical="center"/>
    </xf>
    <xf numFmtId="0" fontId="83" fillId="66" borderId="76" xfId="4615" applyFont="1" applyFill="1" applyBorder="1" applyAlignment="1">
      <alignment horizontal="left" vertical="center"/>
    </xf>
    <xf numFmtId="3" fontId="227" fillId="66" borderId="76" xfId="20514" applyNumberFormat="1" applyFont="1" applyFill="1" applyBorder="1" applyAlignment="1">
      <alignment horizontal="right" vertical="center"/>
    </xf>
    <xf numFmtId="0" fontId="83" fillId="66" borderId="76" xfId="4615" applyFont="1" applyFill="1" applyBorder="1" applyAlignment="1">
      <alignment horizontal="left" vertical="center" wrapText="1"/>
    </xf>
    <xf numFmtId="0" fontId="227" fillId="66" borderId="76" xfId="0" quotePrefix="1" applyFont="1" applyFill="1" applyBorder="1" applyAlignment="1">
      <alignment horizontal="center" vertical="center"/>
    </xf>
    <xf numFmtId="175" fontId="83" fillId="66" borderId="76" xfId="20514" applyNumberFormat="1" applyFont="1" applyFill="1" applyBorder="1" applyAlignment="1">
      <alignment horizontal="left" vertical="center" wrapText="1"/>
    </xf>
    <xf numFmtId="0" fontId="83" fillId="66" borderId="76" xfId="0" applyFont="1" applyFill="1" applyBorder="1" applyAlignment="1">
      <alignment vertical="center" wrapText="1"/>
    </xf>
    <xf numFmtId="3" fontId="227" fillId="66" borderId="76" xfId="0" applyNumberFormat="1" applyFont="1" applyFill="1" applyBorder="1" applyAlignment="1">
      <alignment horizontal="right" vertical="center"/>
    </xf>
    <xf numFmtId="0" fontId="264" fillId="66" borderId="76" xfId="0" applyFont="1" applyFill="1" applyBorder="1" applyAlignment="1">
      <alignment vertical="center" wrapText="1"/>
    </xf>
    <xf numFmtId="169" fontId="269" fillId="66" borderId="76" xfId="20514" applyFont="1" applyFill="1" applyBorder="1" applyAlignment="1">
      <alignment horizontal="center" vertical="center"/>
    </xf>
    <xf numFmtId="169" fontId="273" fillId="66" borderId="76" xfId="20514" applyFont="1" applyFill="1" applyBorder="1" applyAlignment="1">
      <alignment vertical="center" wrapText="1"/>
    </xf>
    <xf numFmtId="0" fontId="227" fillId="66" borderId="76" xfId="0" applyFont="1" applyFill="1" applyBorder="1"/>
    <xf numFmtId="0" fontId="272" fillId="0" borderId="76" xfId="0" applyFont="1" applyBorder="1"/>
    <xf numFmtId="0" fontId="264" fillId="0" borderId="76" xfId="2612" applyFont="1" applyBorder="1" applyAlignment="1">
      <alignment horizontal="center" vertical="center"/>
    </xf>
    <xf numFmtId="3" fontId="264" fillId="0" borderId="76" xfId="2612" applyNumberFormat="1" applyFont="1" applyBorder="1" applyAlignment="1">
      <alignment horizontal="right" vertical="center"/>
    </xf>
    <xf numFmtId="0" fontId="264" fillId="0" borderId="76" xfId="2612" applyFont="1" applyBorder="1" applyAlignment="1">
      <alignment vertical="center" wrapText="1"/>
    </xf>
    <xf numFmtId="0" fontId="274" fillId="0" borderId="0" xfId="0" applyFont="1"/>
    <xf numFmtId="0" fontId="83" fillId="0" borderId="76" xfId="20513" applyFont="1" applyBorder="1" applyAlignment="1">
      <alignment horizontal="left" vertical="center" wrapText="1"/>
    </xf>
    <xf numFmtId="0" fontId="83" fillId="0" borderId="76" xfId="2612" applyFont="1" applyBorder="1" applyAlignment="1">
      <alignment horizontal="center" vertical="center"/>
    </xf>
    <xf numFmtId="3" fontId="83" fillId="0" borderId="76" xfId="2612" applyNumberFormat="1" applyFont="1" applyBorder="1" applyAlignment="1">
      <alignment horizontal="right" vertical="center" wrapText="1"/>
    </xf>
    <xf numFmtId="3" fontId="264" fillId="0" borderId="76" xfId="2612" applyNumberFormat="1" applyFont="1" applyBorder="1" applyAlignment="1">
      <alignment horizontal="right" vertical="center" wrapText="1"/>
    </xf>
    <xf numFmtId="0" fontId="83" fillId="0" borderId="76" xfId="2612" quotePrefix="1" applyFont="1" applyBorder="1" applyAlignment="1">
      <alignment horizontal="center" vertical="center"/>
    </xf>
    <xf numFmtId="0" fontId="264" fillId="0" borderId="76" xfId="2612" applyFont="1" applyBorder="1" applyAlignment="1">
      <alignment horizontal="justify" vertical="center" wrapText="1"/>
    </xf>
    <xf numFmtId="0" fontId="264" fillId="0" borderId="76" xfId="2612" quotePrefix="1" applyFont="1" applyBorder="1" applyAlignment="1">
      <alignment horizontal="center" vertical="center"/>
    </xf>
    <xf numFmtId="0" fontId="83" fillId="0" borderId="76" xfId="2612" applyFont="1" applyBorder="1" applyAlignment="1">
      <alignment horizontal="justify" vertical="center" wrapText="1"/>
    </xf>
    <xf numFmtId="175" fontId="83" fillId="0" borderId="76" xfId="20514" applyNumberFormat="1" applyFont="1" applyFill="1" applyBorder="1" applyAlignment="1">
      <alignment horizontal="left" vertical="center" wrapText="1"/>
    </xf>
    <xf numFmtId="0" fontId="83" fillId="0" borderId="76" xfId="0" applyFont="1" applyBorder="1" applyAlignment="1">
      <alignment vertical="center" wrapText="1"/>
    </xf>
    <xf numFmtId="0" fontId="264" fillId="0" borderId="76" xfId="20513" applyFont="1" applyBorder="1" applyAlignment="1">
      <alignment horizontal="left" vertical="center" wrapText="1"/>
    </xf>
    <xf numFmtId="3" fontId="269" fillId="66" borderId="76" xfId="20514" applyNumberFormat="1" applyFont="1" applyFill="1" applyBorder="1" applyAlignment="1">
      <alignment horizontal="center" vertical="center"/>
    </xf>
    <xf numFmtId="3" fontId="83" fillId="66" borderId="76" xfId="20514" applyNumberFormat="1" applyFont="1" applyFill="1" applyBorder="1" applyAlignment="1">
      <alignment horizontal="center" vertical="center"/>
    </xf>
    <xf numFmtId="3" fontId="227" fillId="66" borderId="76" xfId="20514" applyNumberFormat="1" applyFont="1" applyFill="1" applyBorder="1" applyAlignment="1">
      <alignment horizontal="center" vertical="center"/>
    </xf>
    <xf numFmtId="3" fontId="227" fillId="66" borderId="76" xfId="0" applyNumberFormat="1" applyFont="1" applyFill="1" applyBorder="1" applyAlignment="1">
      <alignment horizontal="center" vertical="center"/>
    </xf>
    <xf numFmtId="0" fontId="227" fillId="66" borderId="76" xfId="0" applyFont="1" applyFill="1" applyBorder="1" applyAlignment="1">
      <alignment horizontal="center"/>
    </xf>
    <xf numFmtId="0" fontId="272" fillId="0" borderId="76" xfId="0" applyFont="1" applyBorder="1" applyAlignment="1">
      <alignment horizontal="center"/>
    </xf>
    <xf numFmtId="3" fontId="264" fillId="0" borderId="76" xfId="2612" applyNumberFormat="1" applyFont="1" applyBorder="1" applyAlignment="1">
      <alignment horizontal="center" vertical="center"/>
    </xf>
    <xf numFmtId="3" fontId="83" fillId="0" borderId="76" xfId="2612" applyNumberFormat="1" applyFont="1" applyBorder="1" applyAlignment="1">
      <alignment horizontal="center" vertical="center" wrapText="1"/>
    </xf>
    <xf numFmtId="0" fontId="83" fillId="0" borderId="76" xfId="2612" applyFont="1" applyBorder="1" applyAlignment="1">
      <alignment horizontal="center"/>
    </xf>
    <xf numFmtId="3" fontId="264" fillId="0" borderId="76" xfId="2612" applyNumberFormat="1" applyFont="1" applyBorder="1" applyAlignment="1">
      <alignment horizontal="center" vertical="center" wrapText="1"/>
    </xf>
    <xf numFmtId="169" fontId="264" fillId="0" borderId="76" xfId="20514" applyFont="1" applyBorder="1" applyAlignment="1">
      <alignment horizontal="center" vertical="center" wrapText="1"/>
    </xf>
    <xf numFmtId="169" fontId="83" fillId="0" borderId="76" xfId="20514" applyFont="1" applyFill="1" applyBorder="1" applyAlignment="1">
      <alignment horizontal="center" vertical="center" wrapText="1"/>
    </xf>
    <xf numFmtId="0" fontId="272" fillId="0" borderId="0" xfId="0" applyFont="1" applyAlignment="1">
      <alignment horizontal="center"/>
    </xf>
    <xf numFmtId="0" fontId="259" fillId="66" borderId="76" xfId="0" applyFont="1" applyFill="1" applyBorder="1" applyAlignment="1">
      <alignment horizontal="center" vertical="center" wrapText="1"/>
    </xf>
    <xf numFmtId="0" fontId="81" fillId="66" borderId="76" xfId="20513" applyFont="1" applyFill="1" applyBorder="1" applyAlignment="1">
      <alignment horizontal="center" vertical="center" wrapText="1"/>
    </xf>
    <xf numFmtId="0" fontId="81" fillId="66" borderId="76" xfId="4615" applyFont="1" applyFill="1" applyBorder="1" applyAlignment="1">
      <alignment horizontal="center" vertical="center"/>
    </xf>
    <xf numFmtId="0" fontId="81" fillId="66" borderId="76" xfId="4615" applyFont="1" applyFill="1" applyBorder="1" applyAlignment="1">
      <alignment horizontal="center" vertical="center" wrapText="1"/>
    </xf>
    <xf numFmtId="175" fontId="81" fillId="66" borderId="76" xfId="20514" applyNumberFormat="1" applyFont="1" applyFill="1" applyBorder="1" applyAlignment="1">
      <alignment horizontal="center" vertical="center" wrapText="1"/>
    </xf>
    <xf numFmtId="169" fontId="275" fillId="66" borderId="76" xfId="20514" applyFont="1" applyFill="1" applyBorder="1" applyAlignment="1">
      <alignment horizontal="center" vertical="center" wrapText="1"/>
    </xf>
    <xf numFmtId="0" fontId="81" fillId="0" borderId="76" xfId="2612" applyFont="1" applyBorder="1" applyAlignment="1">
      <alignment horizontal="center" vertical="center" wrapText="1"/>
    </xf>
    <xf numFmtId="0" fontId="81" fillId="0" borderId="76" xfId="20513" applyFont="1" applyBorder="1" applyAlignment="1">
      <alignment horizontal="center" vertical="center" wrapText="1"/>
    </xf>
    <xf numFmtId="175" fontId="81" fillId="0" borderId="76" xfId="20514" applyNumberFormat="1" applyFont="1" applyFill="1" applyBorder="1" applyAlignment="1">
      <alignment horizontal="center" vertical="center" wrapText="1"/>
    </xf>
    <xf numFmtId="0" fontId="81" fillId="0" borderId="76" xfId="0" applyFont="1" applyBorder="1" applyAlignment="1">
      <alignment horizontal="center" vertical="center" wrapText="1"/>
    </xf>
    <xf numFmtId="0" fontId="254" fillId="0" borderId="0" xfId="0" applyFont="1" applyAlignment="1">
      <alignment horizontal="center"/>
    </xf>
    <xf numFmtId="169" fontId="83" fillId="66" borderId="8" xfId="20514" applyFont="1" applyFill="1" applyBorder="1" applyAlignment="1">
      <alignment vertical="center"/>
    </xf>
    <xf numFmtId="0" fontId="264" fillId="0" borderId="0" xfId="0" applyFont="1" applyFill="1"/>
    <xf numFmtId="169" fontId="264" fillId="0" borderId="68" xfId="20514" quotePrefix="1" applyFont="1" applyBorder="1" applyAlignment="1">
      <alignment horizontal="center" vertical="center" wrapText="1"/>
    </xf>
    <xf numFmtId="3" fontId="261" fillId="66" borderId="76" xfId="2612" applyNumberFormat="1" applyFont="1" applyFill="1" applyBorder="1" applyAlignment="1">
      <alignment horizontal="right" vertical="center"/>
    </xf>
    <xf numFmtId="0" fontId="261" fillId="66" borderId="76" xfId="2612" applyFont="1" applyFill="1" applyBorder="1" applyAlignment="1">
      <alignment horizontal="justify" vertical="center" wrapText="1"/>
    </xf>
    <xf numFmtId="0" fontId="261" fillId="66" borderId="76" xfId="2612" applyFont="1" applyFill="1" applyBorder="1" applyAlignment="1">
      <alignment horizontal="justify" vertical="center"/>
    </xf>
    <xf numFmtId="0" fontId="36" fillId="66" borderId="76" xfId="2612" applyFont="1" applyFill="1" applyBorder="1" applyAlignment="1">
      <alignment horizontal="center" vertical="center"/>
    </xf>
    <xf numFmtId="0" fontId="36" fillId="66" borderId="76" xfId="2612" applyFont="1" applyFill="1" applyBorder="1" applyAlignment="1">
      <alignment horizontal="justify" vertical="center" wrapText="1"/>
    </xf>
    <xf numFmtId="3" fontId="36" fillId="66" borderId="76" xfId="2612" applyNumberFormat="1" applyFont="1" applyFill="1" applyBorder="1" applyAlignment="1">
      <alignment horizontal="right" vertical="center" wrapText="1"/>
    </xf>
    <xf numFmtId="3" fontId="36" fillId="66" borderId="76" xfId="2612" quotePrefix="1" applyNumberFormat="1" applyFont="1" applyFill="1" applyBorder="1" applyAlignment="1">
      <alignment horizontal="center" vertical="center" wrapText="1"/>
    </xf>
    <xf numFmtId="0" fontId="36" fillId="66" borderId="76" xfId="4615" applyFont="1" applyFill="1" applyBorder="1" applyAlignment="1">
      <alignment horizontal="left" vertical="center" wrapText="1"/>
    </xf>
    <xf numFmtId="175" fontId="36" fillId="66" borderId="76" xfId="20514" applyNumberFormat="1" applyFont="1" applyFill="1" applyBorder="1" applyAlignment="1">
      <alignment horizontal="left" vertical="center" wrapText="1"/>
    </xf>
    <xf numFmtId="0" fontId="36" fillId="66" borderId="76" xfId="0" applyFont="1" applyFill="1" applyBorder="1" applyAlignment="1">
      <alignment vertical="center" wrapText="1"/>
    </xf>
    <xf numFmtId="0" fontId="36" fillId="66" borderId="76" xfId="20513" applyFont="1" applyFill="1" applyBorder="1" applyAlignment="1">
      <alignment horizontal="left" vertical="center" wrapText="1"/>
    </xf>
    <xf numFmtId="3" fontId="36" fillId="66" borderId="76" xfId="2612" applyNumberFormat="1" applyFont="1" applyFill="1" applyBorder="1" applyAlignment="1">
      <alignment horizontal="right" vertical="center"/>
    </xf>
    <xf numFmtId="0" fontId="261" fillId="66" borderId="76" xfId="20513" applyFont="1" applyFill="1" applyBorder="1" applyAlignment="1">
      <alignment horizontal="left" vertical="center" wrapText="1"/>
    </xf>
    <xf numFmtId="0" fontId="276" fillId="0" borderId="0" xfId="0" applyFont="1"/>
    <xf numFmtId="0" fontId="81" fillId="66" borderId="68" xfId="0" quotePrefix="1" applyFont="1" applyFill="1" applyBorder="1" applyAlignment="1">
      <alignment horizontal="center" vertical="center" wrapText="1"/>
    </xf>
    <xf numFmtId="0" fontId="81" fillId="66" borderId="0" xfId="0" applyFont="1" applyFill="1" applyAlignment="1">
      <alignment horizontal="center" vertical="center"/>
    </xf>
    <xf numFmtId="0" fontId="111" fillId="66" borderId="68" xfId="0" quotePrefix="1" applyFont="1" applyFill="1" applyBorder="1" applyAlignment="1">
      <alignment horizontal="center" vertical="center" wrapText="1"/>
    </xf>
    <xf numFmtId="169" fontId="264" fillId="0" borderId="68" xfId="20514" applyFont="1" applyFill="1" applyBorder="1" applyAlignment="1">
      <alignment vertical="center"/>
    </xf>
    <xf numFmtId="169" fontId="36" fillId="0" borderId="68" xfId="20514" applyFont="1" applyFill="1" applyBorder="1" applyAlignment="1">
      <alignment horizontal="center" vertical="center"/>
    </xf>
    <xf numFmtId="169" fontId="83" fillId="0" borderId="68" xfId="20514" applyFont="1" applyFill="1" applyBorder="1" applyAlignment="1">
      <alignment vertical="center"/>
    </xf>
    <xf numFmtId="0" fontId="278" fillId="66" borderId="76" xfId="0" applyFont="1" applyFill="1" applyBorder="1" applyAlignment="1">
      <alignment horizontal="center" vertical="center"/>
    </xf>
    <xf numFmtId="0" fontId="278" fillId="66" borderId="76" xfId="0" applyFont="1" applyFill="1" applyBorder="1" applyAlignment="1">
      <alignment vertical="center" wrapText="1"/>
    </xf>
    <xf numFmtId="0" fontId="255" fillId="66" borderId="76" xfId="0" applyFont="1" applyFill="1" applyBorder="1" applyAlignment="1">
      <alignment horizontal="center" vertical="center" wrapText="1"/>
    </xf>
    <xf numFmtId="3" fontId="278" fillId="66" borderId="76" xfId="20514" applyNumberFormat="1" applyFont="1" applyFill="1" applyBorder="1" applyAlignment="1">
      <alignment horizontal="center" vertical="center"/>
    </xf>
    <xf numFmtId="3" fontId="278" fillId="66" borderId="76" xfId="20514" applyNumberFormat="1" applyFont="1" applyFill="1" applyBorder="1" applyAlignment="1">
      <alignment horizontal="right" vertical="center"/>
    </xf>
    <xf numFmtId="0" fontId="279" fillId="0" borderId="0" xfId="0" applyFont="1"/>
    <xf numFmtId="0" fontId="280" fillId="66" borderId="76" xfId="0" applyFont="1" applyFill="1" applyBorder="1" applyAlignment="1">
      <alignment vertical="center"/>
    </xf>
    <xf numFmtId="0" fontId="281" fillId="66" borderId="76" xfId="0" applyFont="1" applyFill="1" applyBorder="1" applyAlignment="1">
      <alignment horizontal="center" vertical="center"/>
    </xf>
    <xf numFmtId="3" fontId="83" fillId="0" borderId="76" xfId="2612" applyNumberFormat="1" applyFont="1" applyBorder="1" applyAlignment="1">
      <alignment horizontal="center" vertical="center"/>
    </xf>
    <xf numFmtId="3" fontId="83" fillId="0" borderId="76" xfId="2612" applyNumberFormat="1" applyFont="1" applyBorder="1" applyAlignment="1">
      <alignment horizontal="right" vertical="center"/>
    </xf>
    <xf numFmtId="0" fontId="111" fillId="0" borderId="76" xfId="2612" applyFont="1" applyBorder="1" applyAlignment="1">
      <alignment horizontal="center" vertical="center" wrapText="1"/>
    </xf>
    <xf numFmtId="0" fontId="282" fillId="0" borderId="76" xfId="2612" quotePrefix="1" applyFont="1" applyBorder="1" applyAlignment="1">
      <alignment horizontal="center" vertical="center"/>
    </xf>
    <xf numFmtId="0" fontId="282" fillId="0" borderId="76" xfId="2612" applyFont="1" applyBorder="1" applyAlignment="1">
      <alignment horizontal="justify" vertical="center" wrapText="1"/>
    </xf>
    <xf numFmtId="0" fontId="283" fillId="0" borderId="76" xfId="2612" applyFont="1" applyBorder="1" applyAlignment="1">
      <alignment horizontal="center" vertical="center" wrapText="1"/>
    </xf>
    <xf numFmtId="3" fontId="282" fillId="0" borderId="76" xfId="2612" applyNumberFormat="1" applyFont="1" applyBorder="1" applyAlignment="1">
      <alignment horizontal="center" vertical="center" wrapText="1"/>
    </xf>
    <xf numFmtId="3" fontId="282" fillId="0" borderId="76" xfId="2612" applyNumberFormat="1" applyFont="1" applyBorder="1" applyAlignment="1">
      <alignment horizontal="right" vertical="center" wrapText="1"/>
    </xf>
    <xf numFmtId="0" fontId="284" fillId="0" borderId="0" xfId="0" applyFont="1"/>
    <xf numFmtId="0" fontId="264" fillId="68" borderId="76" xfId="20516" applyFont="1" applyFill="1" applyBorder="1" applyAlignment="1">
      <alignment horizontal="center" vertical="center" wrapText="1"/>
    </xf>
    <xf numFmtId="3" fontId="264" fillId="68" borderId="76" xfId="20514" applyNumberFormat="1" applyFont="1" applyFill="1" applyBorder="1" applyAlignment="1">
      <alignment horizontal="right" vertical="center" wrapText="1"/>
    </xf>
    <xf numFmtId="367" fontId="272" fillId="0" borderId="0" xfId="20514" applyNumberFormat="1" applyFont="1" applyAlignment="1">
      <alignment horizontal="center"/>
    </xf>
    <xf numFmtId="367" fontId="264" fillId="66" borderId="76" xfId="20514" applyNumberFormat="1" applyFont="1" applyFill="1" applyBorder="1" applyAlignment="1">
      <alignment horizontal="center" vertical="center" wrapText="1"/>
    </xf>
    <xf numFmtId="367" fontId="83" fillId="66" borderId="76" xfId="20514" applyNumberFormat="1" applyFont="1" applyFill="1" applyBorder="1" applyAlignment="1">
      <alignment horizontal="center" vertical="center" wrapText="1"/>
    </xf>
    <xf numFmtId="367" fontId="269" fillId="68" borderId="76" xfId="20514" applyNumberFormat="1" applyFont="1" applyFill="1" applyBorder="1" applyAlignment="1">
      <alignment horizontal="center" vertical="center"/>
    </xf>
    <xf numFmtId="367" fontId="269" fillId="66" borderId="76" xfId="20514" applyNumberFormat="1" applyFont="1" applyFill="1" applyBorder="1" applyAlignment="1">
      <alignment horizontal="center" vertical="center"/>
    </xf>
    <xf numFmtId="367" fontId="83" fillId="66" borderId="76" xfId="20514" applyNumberFormat="1" applyFont="1" applyFill="1" applyBorder="1" applyAlignment="1">
      <alignment horizontal="center" vertical="center"/>
    </xf>
    <xf numFmtId="367" fontId="227" fillId="66" borderId="76" xfId="20514" applyNumberFormat="1" applyFont="1" applyFill="1" applyBorder="1" applyAlignment="1">
      <alignment horizontal="center" vertical="center"/>
    </xf>
    <xf numFmtId="367" fontId="278" fillId="66" borderId="76" xfId="20514" applyNumberFormat="1" applyFont="1" applyFill="1" applyBorder="1" applyAlignment="1">
      <alignment horizontal="center" vertical="center"/>
    </xf>
    <xf numFmtId="367" fontId="264" fillId="0" borderId="76" xfId="20514" applyNumberFormat="1" applyFont="1" applyBorder="1" applyAlignment="1">
      <alignment horizontal="center" vertical="center"/>
    </xf>
    <xf numFmtId="367" fontId="83" fillId="0" borderId="76" xfId="20514" applyNumberFormat="1" applyFont="1" applyBorder="1" applyAlignment="1">
      <alignment horizontal="center" vertical="center"/>
    </xf>
    <xf numFmtId="367" fontId="83" fillId="0" borderId="76" xfId="20514" applyNumberFormat="1" applyFont="1" applyFill="1" applyBorder="1" applyAlignment="1" applyProtection="1">
      <alignment horizontal="center" vertical="center" wrapText="1"/>
      <protection locked="0"/>
    </xf>
    <xf numFmtId="367" fontId="83" fillId="0" borderId="76" xfId="20514" applyNumberFormat="1" applyFont="1" applyBorder="1" applyAlignment="1">
      <alignment horizontal="center" vertical="center" wrapText="1"/>
    </xf>
    <xf numFmtId="367" fontId="264" fillId="0" borderId="76" xfId="20514" applyNumberFormat="1" applyFont="1" applyBorder="1" applyAlignment="1">
      <alignment horizontal="center" vertical="center" wrapText="1"/>
    </xf>
    <xf numFmtId="367" fontId="282" fillId="0" borderId="76" xfId="20514" applyNumberFormat="1" applyFont="1" applyBorder="1" applyAlignment="1">
      <alignment horizontal="center" vertical="center" wrapText="1"/>
    </xf>
    <xf numFmtId="367" fontId="83" fillId="0" borderId="76" xfId="20514" applyNumberFormat="1" applyFont="1" applyFill="1" applyBorder="1" applyAlignment="1">
      <alignment horizontal="center" vertical="center" wrapText="1"/>
    </xf>
    <xf numFmtId="367" fontId="276" fillId="0" borderId="0" xfId="20514" applyNumberFormat="1" applyFont="1"/>
    <xf numFmtId="367" fontId="261" fillId="66" borderId="76" xfId="20514" applyNumberFormat="1" applyFont="1" applyFill="1" applyBorder="1" applyAlignment="1">
      <alignment horizontal="right" vertical="center"/>
    </xf>
    <xf numFmtId="367" fontId="36" fillId="66" borderId="76" xfId="20514" applyNumberFormat="1" applyFont="1" applyFill="1" applyBorder="1" applyAlignment="1">
      <alignment horizontal="right" vertical="center"/>
    </xf>
    <xf numFmtId="367" fontId="0" fillId="0" borderId="0" xfId="20514" applyNumberFormat="1" applyFont="1"/>
    <xf numFmtId="0" fontId="36" fillId="0" borderId="76" xfId="2612" applyFont="1" applyFill="1" applyBorder="1" applyAlignment="1">
      <alignment horizontal="center" vertical="center"/>
    </xf>
    <xf numFmtId="0" fontId="36" fillId="0" borderId="76" xfId="2612" applyFont="1" applyFill="1" applyBorder="1" applyAlignment="1">
      <alignment horizontal="justify" vertical="center" wrapText="1"/>
    </xf>
    <xf numFmtId="169" fontId="36" fillId="0" borderId="76" xfId="20514" applyFont="1" applyFill="1" applyBorder="1" applyAlignment="1">
      <alignment horizontal="right" vertical="center" wrapText="1"/>
    </xf>
    <xf numFmtId="367" fontId="36" fillId="0" borderId="76" xfId="20514" applyNumberFormat="1" applyFont="1" applyFill="1" applyBorder="1" applyAlignment="1">
      <alignment horizontal="right" vertical="center"/>
    </xf>
    <xf numFmtId="3" fontId="36" fillId="0" borderId="76" xfId="2612" quotePrefix="1" applyNumberFormat="1" applyFont="1" applyFill="1" applyBorder="1" applyAlignment="1">
      <alignment horizontal="center" vertical="center" wrapText="1"/>
    </xf>
    <xf numFmtId="49" fontId="264" fillId="69" borderId="76" xfId="20518" applyNumberFormat="1" applyFont="1" applyFill="1" applyBorder="1" applyAlignment="1">
      <alignment horizontal="center" vertical="center" wrapText="1"/>
    </xf>
    <xf numFmtId="3" fontId="111" fillId="69" borderId="9" xfId="20518" applyNumberFormat="1" applyFont="1" applyFill="1" applyBorder="1" applyAlignment="1">
      <alignment horizontal="center" vertical="center" wrapText="1"/>
    </xf>
    <xf numFmtId="0" fontId="264" fillId="69" borderId="9" xfId="20518" applyFont="1" applyFill="1" applyBorder="1" applyAlignment="1">
      <alignment horizontal="center" vertical="center" wrapText="1"/>
    </xf>
    <xf numFmtId="1" fontId="111" fillId="69" borderId="9" xfId="20518" applyNumberFormat="1" applyFont="1" applyFill="1" applyBorder="1" applyAlignment="1">
      <alignment horizontal="center" vertical="center" wrapText="1"/>
    </xf>
    <xf numFmtId="3" fontId="270" fillId="69" borderId="9" xfId="20518" applyNumberFormat="1" applyFont="1" applyFill="1" applyBorder="1" applyAlignment="1">
      <alignment horizontal="center" vertical="center" wrapText="1"/>
    </xf>
    <xf numFmtId="175" fontId="264" fillId="69" borderId="9" xfId="20514" applyNumberFormat="1" applyFont="1" applyFill="1" applyBorder="1" applyAlignment="1">
      <alignment horizontal="center" vertical="center" wrapText="1"/>
    </xf>
    <xf numFmtId="0" fontId="264" fillId="69" borderId="76"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111" fillId="0" borderId="76" xfId="0" applyFont="1" applyFill="1" applyBorder="1" applyAlignment="1">
      <alignment vertical="center" wrapText="1"/>
    </xf>
    <xf numFmtId="175" fontId="111" fillId="0" borderId="76" xfId="20514" applyNumberFormat="1" applyFont="1" applyFill="1" applyBorder="1" applyAlignment="1">
      <alignment horizontal="right" vertical="center" wrapText="1"/>
    </xf>
    <xf numFmtId="0" fontId="111" fillId="70" borderId="76" xfId="0" applyFont="1" applyFill="1" applyBorder="1" applyAlignment="1">
      <alignment horizontal="center" vertical="center" wrapText="1"/>
    </xf>
    <xf numFmtId="0" fontId="111" fillId="70" borderId="76" xfId="0" applyFont="1" applyFill="1" applyBorder="1" applyAlignment="1">
      <alignment vertical="center" wrapText="1"/>
    </xf>
    <xf numFmtId="175" fontId="111" fillId="70" borderId="76" xfId="20514" applyNumberFormat="1" applyFont="1" applyFill="1" applyBorder="1" applyAlignment="1">
      <alignment horizontal="right" vertical="center" wrapText="1"/>
    </xf>
    <xf numFmtId="0" fontId="111" fillId="0" borderId="76" xfId="0" applyFont="1" applyFill="1" applyBorder="1" applyAlignment="1">
      <alignment horizontal="center" vertical="center" wrapText="1"/>
    </xf>
    <xf numFmtId="0" fontId="111" fillId="0" borderId="76" xfId="0" quotePrefix="1"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vertical="center" wrapText="1"/>
    </xf>
    <xf numFmtId="175" fontId="81" fillId="0" borderId="76" xfId="20514" applyNumberFormat="1" applyFont="1" applyFill="1" applyBorder="1" applyAlignment="1">
      <alignment horizontal="right" vertical="center" wrapText="1"/>
    </xf>
    <xf numFmtId="0" fontId="81" fillId="0" borderId="76" xfId="20517" applyFont="1" applyFill="1" applyBorder="1" applyAlignment="1">
      <alignment horizontal="center" vertical="center" wrapText="1"/>
    </xf>
    <xf numFmtId="0" fontId="81" fillId="0" borderId="76" xfId="20517" quotePrefix="1" applyFont="1" applyFill="1" applyBorder="1" applyAlignment="1">
      <alignment horizontal="center" vertical="center" wrapText="1"/>
    </xf>
    <xf numFmtId="0" fontId="81" fillId="0" borderId="76" xfId="0" quotePrefix="1" applyFont="1" applyFill="1" applyBorder="1" applyAlignment="1">
      <alignment vertical="center" wrapText="1"/>
    </xf>
    <xf numFmtId="0" fontId="111" fillId="0" borderId="76" xfId="0" applyFont="1" applyFill="1" applyBorder="1" applyAlignment="1">
      <alignment horizontal="left" vertical="center" wrapText="1"/>
    </xf>
    <xf numFmtId="175" fontId="81" fillId="0" borderId="76" xfId="20514" quotePrefix="1" applyNumberFormat="1" applyFont="1" applyFill="1" applyBorder="1" applyAlignment="1">
      <alignment horizontal="right" vertical="center" wrapText="1"/>
    </xf>
    <xf numFmtId="0" fontId="81" fillId="0" borderId="76" xfId="0" applyFont="1" applyFill="1" applyBorder="1" applyAlignment="1">
      <alignment horizontal="center" vertical="center" wrapText="1"/>
    </xf>
    <xf numFmtId="0" fontId="111" fillId="0" borderId="76" xfId="0" quotePrefix="1" applyFont="1" applyFill="1" applyBorder="1" applyAlignment="1">
      <alignment vertical="center" wrapText="1"/>
    </xf>
    <xf numFmtId="175" fontId="286" fillId="0" borderId="76" xfId="20514" applyNumberFormat="1" applyFont="1" applyFill="1" applyBorder="1" applyAlignment="1">
      <alignment horizontal="right" vertical="center" wrapText="1"/>
    </xf>
    <xf numFmtId="175" fontId="81" fillId="66" borderId="76" xfId="20514" applyNumberFormat="1" applyFont="1" applyFill="1" applyBorder="1" applyAlignment="1">
      <alignment horizontal="right" vertical="center" wrapText="1"/>
    </xf>
    <xf numFmtId="0" fontId="111" fillId="0" borderId="76" xfId="20517" applyFont="1" applyFill="1" applyBorder="1" applyAlignment="1">
      <alignment horizontal="justify" vertical="center" wrapText="1"/>
    </xf>
    <xf numFmtId="0" fontId="111" fillId="0" borderId="76" xfId="20517" applyFont="1" applyFill="1" applyBorder="1" applyAlignment="1">
      <alignment horizontal="center" vertical="center" wrapText="1"/>
    </xf>
    <xf numFmtId="0" fontId="111" fillId="0" borderId="6" xfId="20517" applyFont="1" applyFill="1" applyBorder="1" applyAlignment="1">
      <alignment horizontal="center" vertical="center" wrapText="1"/>
    </xf>
    <xf numFmtId="0" fontId="287" fillId="0" borderId="76" xfId="0" quotePrefix="1" applyFont="1" applyFill="1" applyBorder="1" applyAlignment="1">
      <alignment horizontal="center" vertical="center" wrapText="1"/>
    </xf>
    <xf numFmtId="175" fontId="287" fillId="0" borderId="76" xfId="20514" applyNumberFormat="1" applyFont="1" applyFill="1" applyBorder="1" applyAlignment="1">
      <alignment horizontal="right" vertical="center" wrapText="1"/>
    </xf>
    <xf numFmtId="0" fontId="81" fillId="0" borderId="76" xfId="20517" applyFont="1" applyFill="1" applyBorder="1" applyAlignment="1">
      <alignment horizontal="justify" vertical="center" wrapText="1"/>
    </xf>
    <xf numFmtId="0" fontId="81" fillId="0" borderId="6" xfId="20517" quotePrefix="1" applyFont="1" applyFill="1" applyBorder="1" applyAlignment="1">
      <alignment horizontal="center" vertical="center" wrapText="1"/>
    </xf>
    <xf numFmtId="0" fontId="287" fillId="0" borderId="76" xfId="0" applyFont="1" applyFill="1" applyBorder="1" applyAlignment="1">
      <alignment vertical="center" wrapText="1"/>
    </xf>
    <xf numFmtId="0" fontId="81" fillId="0" borderId="79" xfId="0" quotePrefix="1" applyFont="1" applyFill="1" applyBorder="1" applyAlignment="1">
      <alignment horizontal="center" vertical="center" wrapText="1"/>
    </xf>
    <xf numFmtId="3" fontId="81" fillId="0" borderId="76" xfId="20518" quotePrefix="1" applyNumberFormat="1" applyFont="1" applyFill="1" applyBorder="1" applyAlignment="1">
      <alignment horizontal="center" vertical="center" wrapText="1"/>
    </xf>
    <xf numFmtId="0" fontId="81" fillId="0" borderId="76" xfId="0" quotePrefix="1" applyFont="1" applyFill="1" applyBorder="1" applyAlignment="1">
      <alignment horizontal="center" vertical="center"/>
    </xf>
    <xf numFmtId="0" fontId="81" fillId="0" borderId="76" xfId="0" applyFont="1" applyFill="1" applyBorder="1" applyAlignment="1">
      <alignment horizontal="left" vertical="center" wrapText="1"/>
    </xf>
    <xf numFmtId="3" fontId="81" fillId="0" borderId="76" xfId="20518" applyNumberFormat="1" applyFont="1" applyFill="1" applyBorder="1" applyAlignment="1">
      <alignment horizontal="center" vertical="center" wrapText="1"/>
    </xf>
    <xf numFmtId="3" fontId="81" fillId="0" borderId="76" xfId="20518" applyNumberFormat="1" applyFont="1" applyFill="1" applyBorder="1" applyAlignment="1">
      <alignment horizontal="left" vertical="center" wrapText="1"/>
    </xf>
    <xf numFmtId="1" fontId="81" fillId="0" borderId="76" xfId="20518" applyNumberFormat="1" applyFont="1" applyFill="1" applyBorder="1" applyAlignment="1">
      <alignment horizontal="center" vertical="center" wrapText="1"/>
    </xf>
    <xf numFmtId="355" fontId="81" fillId="0" borderId="76" xfId="0" applyNumberFormat="1" applyFont="1" applyFill="1" applyBorder="1" applyAlignment="1">
      <alignment vertical="center" wrapText="1"/>
    </xf>
    <xf numFmtId="1" fontId="81" fillId="0" borderId="76" xfId="20518" applyNumberFormat="1" applyFont="1" applyFill="1" applyBorder="1" applyAlignment="1">
      <alignment horizontal="left" vertical="center" wrapText="1"/>
    </xf>
    <xf numFmtId="1" fontId="81" fillId="0" borderId="76" xfId="20518" quotePrefix="1" applyNumberFormat="1" applyFont="1" applyFill="1" applyBorder="1" applyAlignment="1">
      <alignment horizontal="center" vertical="center" wrapText="1"/>
    </xf>
    <xf numFmtId="1" fontId="81" fillId="0" borderId="76" xfId="20518" applyNumberFormat="1" applyFont="1" applyFill="1" applyBorder="1" applyAlignment="1">
      <alignment vertical="center" wrapText="1"/>
    </xf>
    <xf numFmtId="355" fontId="81" fillId="0" borderId="76" xfId="0" applyNumberFormat="1" applyFont="1" applyFill="1" applyBorder="1" applyAlignment="1">
      <alignment horizontal="left" vertical="center" wrapText="1"/>
    </xf>
    <xf numFmtId="355" fontId="81" fillId="0" borderId="76" xfId="0" applyNumberFormat="1" applyFont="1" applyFill="1" applyBorder="1" applyAlignment="1">
      <alignment horizontal="center" vertical="center" wrapText="1"/>
    </xf>
    <xf numFmtId="0" fontId="81" fillId="70" borderId="76" xfId="0" quotePrefix="1" applyFont="1" applyFill="1" applyBorder="1" applyAlignment="1">
      <alignment horizontal="center" vertical="center"/>
    </xf>
    <xf numFmtId="1" fontId="81" fillId="70" borderId="76" xfId="20518" applyNumberFormat="1" applyFont="1" applyFill="1" applyBorder="1" applyAlignment="1">
      <alignment vertical="center" wrapText="1"/>
    </xf>
    <xf numFmtId="0" fontId="81" fillId="70" borderId="76" xfId="0" applyFont="1" applyFill="1" applyBorder="1" applyAlignment="1">
      <alignment horizontal="center" vertical="center" wrapText="1"/>
    </xf>
    <xf numFmtId="0" fontId="81" fillId="70" borderId="76" xfId="0" quotePrefix="1" applyFont="1" applyFill="1" applyBorder="1" applyAlignment="1">
      <alignment horizontal="center" vertical="center" wrapText="1"/>
    </xf>
    <xf numFmtId="175" fontId="81" fillId="70" borderId="76" xfId="20514" applyNumberFormat="1" applyFont="1" applyFill="1" applyBorder="1" applyAlignment="1">
      <alignment horizontal="right" vertical="center" wrapText="1"/>
    </xf>
    <xf numFmtId="1" fontId="81" fillId="70" borderId="76" xfId="20518" applyNumberFormat="1" applyFont="1" applyFill="1" applyBorder="1" applyAlignment="1">
      <alignment horizontal="center" vertical="center" wrapText="1"/>
    </xf>
    <xf numFmtId="0" fontId="287" fillId="0" borderId="76" xfId="0" applyFont="1" applyFill="1" applyBorder="1" applyAlignment="1">
      <alignment horizontal="center" vertical="center" wrapText="1"/>
    </xf>
    <xf numFmtId="0" fontId="287" fillId="0" borderId="76" xfId="0" applyFont="1" applyFill="1" applyBorder="1" applyAlignment="1">
      <alignment horizontal="left" vertical="center" wrapText="1"/>
    </xf>
    <xf numFmtId="0" fontId="81" fillId="0" borderId="79" xfId="0" applyFont="1" applyFill="1" applyBorder="1" applyAlignment="1">
      <alignment vertical="center" wrapText="1"/>
    </xf>
    <xf numFmtId="175" fontId="0" fillId="0" borderId="0" xfId="0" applyNumberFormat="1" applyFont="1"/>
    <xf numFmtId="0" fontId="81" fillId="0" borderId="9" xfId="0" applyFont="1" applyFill="1" applyBorder="1" applyAlignment="1">
      <alignment horizontal="center" vertical="center" wrapText="1"/>
    </xf>
    <xf numFmtId="0" fontId="83" fillId="0" borderId="76" xfId="0" applyFont="1" applyFill="1" applyBorder="1"/>
    <xf numFmtId="169" fontId="83" fillId="0" borderId="76" xfId="20514" applyFont="1" applyFill="1" applyBorder="1"/>
    <xf numFmtId="367" fontId="83" fillId="0" borderId="76" xfId="20514" applyNumberFormat="1" applyFont="1" applyFill="1" applyBorder="1"/>
    <xf numFmtId="169" fontId="83" fillId="66" borderId="0" xfId="20514" applyFont="1" applyFill="1" applyAlignment="1">
      <alignment vertical="center"/>
    </xf>
    <xf numFmtId="169" fontId="83" fillId="0" borderId="68" xfId="20514" applyFont="1" applyBorder="1" applyAlignment="1">
      <alignment horizontal="center" vertical="center" wrapText="1"/>
    </xf>
    <xf numFmtId="169" fontId="264" fillId="0" borderId="76" xfId="20514" applyFont="1" applyFill="1" applyBorder="1"/>
    <xf numFmtId="0" fontId="264" fillId="0" borderId="76" xfId="0" applyFont="1" applyFill="1" applyBorder="1"/>
    <xf numFmtId="367" fontId="264" fillId="0" borderId="76" xfId="20514" applyNumberFormat="1" applyFont="1" applyFill="1" applyBorder="1"/>
    <xf numFmtId="0" fontId="81" fillId="0" borderId="76" xfId="0" quotePrefix="1" applyFont="1" applyFill="1" applyBorder="1" applyAlignment="1">
      <alignment horizontal="center" vertical="center" wrapText="1"/>
    </xf>
    <xf numFmtId="0" fontId="111" fillId="69" borderId="76" xfId="0" applyFont="1" applyFill="1" applyBorder="1" applyAlignment="1">
      <alignment horizontal="center" vertical="center" wrapText="1"/>
    </xf>
    <xf numFmtId="0" fontId="111" fillId="69" borderId="76" xfId="0" applyFont="1" applyFill="1" applyBorder="1" applyAlignment="1">
      <alignment vertical="center" wrapText="1"/>
    </xf>
    <xf numFmtId="175" fontId="111" fillId="69" borderId="76" xfId="20514" applyNumberFormat="1" applyFont="1" applyFill="1" applyBorder="1" applyAlignment="1">
      <alignment horizontal="right" vertical="center" wrapText="1"/>
    </xf>
    <xf numFmtId="169" fontId="81" fillId="0" borderId="76" xfId="20514" applyFont="1" applyFill="1" applyBorder="1" applyAlignment="1">
      <alignment horizontal="right" vertical="center" wrapText="1"/>
    </xf>
    <xf numFmtId="169" fontId="83" fillId="0" borderId="76" xfId="0" applyNumberFormat="1" applyFont="1" applyFill="1" applyBorder="1"/>
    <xf numFmtId="169" fontId="264" fillId="0" borderId="76" xfId="0" applyNumberFormat="1" applyFont="1" applyFill="1" applyBorder="1"/>
    <xf numFmtId="169" fontId="282" fillId="0" borderId="76" xfId="20514" applyFont="1" applyFill="1" applyBorder="1"/>
    <xf numFmtId="0" fontId="282" fillId="0" borderId="76" xfId="0" applyFont="1" applyFill="1" applyBorder="1"/>
    <xf numFmtId="169" fontId="282" fillId="0" borderId="76" xfId="0" applyNumberFormat="1" applyFont="1" applyFill="1" applyBorder="1"/>
    <xf numFmtId="367" fontId="282" fillId="0" borderId="76" xfId="20514" applyNumberFormat="1" applyFont="1" applyFill="1" applyBorder="1"/>
    <xf numFmtId="0" fontId="282" fillId="0" borderId="0" xfId="0" applyFont="1" applyFill="1"/>
    <xf numFmtId="0" fontId="111" fillId="68" borderId="76" xfId="0" applyFont="1" applyFill="1" applyBorder="1" applyAlignment="1">
      <alignment horizontal="center" vertical="center" wrapText="1"/>
    </xf>
    <xf numFmtId="0" fontId="111" fillId="68" borderId="76" xfId="0" applyFont="1" applyFill="1" applyBorder="1" applyAlignment="1">
      <alignment vertical="center" wrapText="1"/>
    </xf>
    <xf numFmtId="0" fontId="264" fillId="68" borderId="76" xfId="0" applyFont="1" applyFill="1" applyBorder="1"/>
    <xf numFmtId="169" fontId="264" fillId="68" borderId="76" xfId="20514" applyFont="1" applyFill="1" applyBorder="1"/>
    <xf numFmtId="169" fontId="264" fillId="68" borderId="76" xfId="0" applyNumberFormat="1" applyFont="1" applyFill="1" applyBorder="1"/>
    <xf numFmtId="367" fontId="264" fillId="68" borderId="76" xfId="20514" applyNumberFormat="1" applyFont="1" applyFill="1" applyBorder="1"/>
    <xf numFmtId="43" fontId="264" fillId="68" borderId="76" xfId="0" applyNumberFormat="1" applyFont="1" applyFill="1" applyBorder="1"/>
    <xf numFmtId="0" fontId="288" fillId="0" borderId="0" xfId="0" applyFont="1"/>
    <xf numFmtId="367" fontId="276" fillId="0" borderId="0" xfId="20514" applyNumberFormat="1" applyFont="1" applyAlignment="1">
      <alignment horizontal="right"/>
    </xf>
    <xf numFmtId="367" fontId="261" fillId="70" borderId="76" xfId="20514" applyNumberFormat="1" applyFont="1" applyFill="1" applyBorder="1" applyAlignment="1">
      <alignment horizontal="right" vertical="center" wrapText="1"/>
    </xf>
    <xf numFmtId="367" fontId="261" fillId="66" borderId="76" xfId="20514" applyNumberFormat="1" applyFont="1" applyFill="1" applyBorder="1" applyAlignment="1">
      <alignment horizontal="right" vertical="center" wrapText="1"/>
    </xf>
    <xf numFmtId="367" fontId="36" fillId="66" borderId="76" xfId="20514" applyNumberFormat="1" applyFont="1" applyFill="1" applyBorder="1" applyAlignment="1">
      <alignment horizontal="right" vertical="center" wrapText="1"/>
    </xf>
    <xf numFmtId="367" fontId="36" fillId="0" borderId="76" xfId="20514" applyNumberFormat="1" applyFont="1" applyFill="1" applyBorder="1" applyAlignment="1">
      <alignment horizontal="right" vertical="center" wrapText="1"/>
    </xf>
    <xf numFmtId="367" fontId="261" fillId="0" borderId="76" xfId="20514" applyNumberFormat="1" applyFont="1" applyFill="1" applyBorder="1" applyAlignment="1">
      <alignment horizontal="right" vertical="center" wrapText="1"/>
    </xf>
    <xf numFmtId="367" fontId="36" fillId="66" borderId="76" xfId="20514" applyNumberFormat="1" applyFont="1" applyFill="1" applyBorder="1" applyAlignment="1" applyProtection="1">
      <alignment horizontal="right" vertical="center" wrapText="1"/>
      <protection locked="0"/>
    </xf>
    <xf numFmtId="367" fontId="261" fillId="66" borderId="76" xfId="20514" applyNumberFormat="1" applyFont="1" applyFill="1" applyBorder="1" applyAlignment="1" applyProtection="1">
      <alignment horizontal="right" vertical="center" wrapText="1"/>
      <protection locked="0"/>
    </xf>
    <xf numFmtId="367" fontId="0" fillId="0" borderId="0" xfId="20514" applyNumberFormat="1" applyFont="1" applyAlignment="1">
      <alignment horizontal="right"/>
    </xf>
    <xf numFmtId="169" fontId="261" fillId="69" borderId="68" xfId="20514" applyFont="1" applyFill="1" applyBorder="1" applyAlignment="1">
      <alignment horizontal="center" vertical="center"/>
    </xf>
    <xf numFmtId="3" fontId="277" fillId="69" borderId="76" xfId="20518" applyNumberFormat="1" applyFont="1" applyFill="1" applyBorder="1" applyAlignment="1">
      <alignment horizontal="center" vertical="center" wrapText="1"/>
    </xf>
    <xf numFmtId="43" fontId="83" fillId="66" borderId="0" xfId="0" applyNumberFormat="1" applyFont="1" applyFill="1" applyAlignment="1">
      <alignment vertical="center"/>
    </xf>
    <xf numFmtId="367" fontId="261" fillId="71" borderId="76" xfId="20514" applyNumberFormat="1" applyFont="1" applyFill="1" applyBorder="1" applyAlignment="1">
      <alignment horizontal="right" vertical="center"/>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wrapText="1"/>
    </xf>
    <xf numFmtId="0" fontId="83" fillId="66" borderId="68" xfId="0" applyFont="1" applyFill="1" applyBorder="1" applyAlignment="1">
      <alignment horizontal="left" vertical="center" wrapText="1"/>
    </xf>
    <xf numFmtId="0" fontId="83" fillId="66" borderId="68" xfId="0" quotePrefix="1" applyFont="1" applyFill="1" applyBorder="1" applyAlignment="1">
      <alignment horizontal="left" vertical="center" wrapText="1"/>
    </xf>
    <xf numFmtId="0" fontId="264" fillId="66" borderId="68" xfId="0" applyFont="1" applyFill="1" applyBorder="1" applyAlignment="1">
      <alignment horizontal="left" vertical="center"/>
    </xf>
    <xf numFmtId="0" fontId="36" fillId="66" borderId="76" xfId="0" applyFont="1" applyFill="1" applyBorder="1" applyAlignment="1">
      <alignment horizontal="center" vertical="center" wrapText="1"/>
    </xf>
    <xf numFmtId="169" fontId="261" fillId="0" borderId="77" xfId="20514" applyNumberFormat="1" applyFont="1" applyFill="1" applyBorder="1" applyAlignment="1">
      <alignment horizontal="center" vertical="center" wrapText="1"/>
    </xf>
    <xf numFmtId="0" fontId="261" fillId="66" borderId="79" xfId="20516" applyFont="1" applyFill="1" applyBorder="1" applyAlignment="1">
      <alignment horizontal="center" vertical="center" wrapText="1"/>
    </xf>
    <xf numFmtId="3" fontId="261" fillId="66" borderId="79" xfId="0" applyNumberFormat="1" applyFont="1" applyFill="1" applyBorder="1" applyAlignment="1">
      <alignment horizontal="center" vertical="center" wrapText="1"/>
    </xf>
    <xf numFmtId="169" fontId="261" fillId="0" borderId="79" xfId="20514" applyNumberFormat="1" applyFont="1" applyFill="1" applyBorder="1" applyAlignment="1">
      <alignment horizontal="right" vertical="center" wrapText="1"/>
    </xf>
    <xf numFmtId="0" fontId="261" fillId="69" borderId="79" xfId="20516" applyFont="1" applyFill="1" applyBorder="1" applyAlignment="1">
      <alignment horizontal="center" vertical="center" wrapText="1"/>
    </xf>
    <xf numFmtId="3" fontId="261" fillId="69" borderId="79"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169"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169" fontId="260" fillId="0" borderId="61" xfId="20514" applyNumberFormat="1" applyFont="1" applyFill="1" applyBorder="1" applyAlignment="1">
      <alignment horizontal="right" vertical="center"/>
    </xf>
    <xf numFmtId="0"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169" fontId="289" fillId="0" borderId="61" xfId="20514" applyNumberFormat="1" applyFont="1" applyFill="1" applyBorder="1" applyAlignment="1">
      <alignment horizontal="right" vertical="center"/>
    </xf>
    <xf numFmtId="0" fontId="262" fillId="0" borderId="21" xfId="0" applyFont="1" applyFill="1" applyBorder="1" applyAlignment="1">
      <alignment horizontal="center" vertical="center"/>
    </xf>
    <xf numFmtId="0" fontId="262" fillId="0" borderId="21" xfId="0" applyFont="1" applyFill="1" applyBorder="1" applyAlignment="1">
      <alignment vertical="center" wrapText="1"/>
    </xf>
    <xf numFmtId="0" fontId="262" fillId="0" borderId="21" xfId="0" applyFont="1" applyFill="1" applyBorder="1" applyAlignment="1">
      <alignment horizontal="center" vertical="center" wrapText="1"/>
    </xf>
    <xf numFmtId="3" fontId="262" fillId="72" borderId="21" xfId="20514" applyNumberFormat="1" applyFont="1" applyFill="1" applyBorder="1" applyAlignment="1">
      <alignment horizontal="right" vertical="center"/>
    </xf>
    <xf numFmtId="169" fontId="262" fillId="0" borderId="21" xfId="20514" applyNumberFormat="1"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169" fontId="260" fillId="0" borderId="61" xfId="20514" quotePrefix="1" applyNumberFormat="1" applyFont="1" applyFill="1" applyBorder="1" applyAlignment="1">
      <alignment horizontal="right" vertical="center"/>
    </xf>
    <xf numFmtId="0" fontId="260" fillId="66" borderId="81" xfId="0" applyFont="1" applyFill="1" applyBorder="1" applyAlignment="1">
      <alignment horizontal="center" vertical="center"/>
    </xf>
    <xf numFmtId="0" fontId="36" fillId="66" borderId="81" xfId="4615" applyFont="1" applyFill="1" applyBorder="1" applyAlignment="1">
      <alignment horizontal="left" vertical="center" wrapText="1"/>
    </xf>
    <xf numFmtId="0" fontId="36" fillId="66" borderId="81" xfId="4615" applyFont="1" applyFill="1" applyBorder="1" applyAlignment="1">
      <alignment horizontal="center" vertical="center" wrapText="1"/>
    </xf>
    <xf numFmtId="3" fontId="260" fillId="66" borderId="81" xfId="20514" applyNumberFormat="1" applyFont="1" applyFill="1" applyBorder="1" applyAlignment="1">
      <alignment horizontal="right" vertical="center"/>
    </xf>
    <xf numFmtId="169" fontId="260" fillId="0" borderId="81" xfId="20514" applyNumberFormat="1" applyFont="1" applyFill="1" applyBorder="1" applyAlignment="1">
      <alignment horizontal="right" vertical="center"/>
    </xf>
    <xf numFmtId="0" fontId="36" fillId="0" borderId="81" xfId="20514" applyNumberFormat="1" applyFont="1" applyFill="1" applyBorder="1" applyAlignment="1">
      <alignment horizontal="right" vertical="center"/>
    </xf>
    <xf numFmtId="169" fontId="260" fillId="0" borderId="81" xfId="20514" quotePrefix="1" applyNumberFormat="1" applyFont="1" applyFill="1" applyBorder="1" applyAlignment="1">
      <alignment horizontal="right" vertical="center"/>
    </xf>
    <xf numFmtId="0" fontId="262" fillId="66" borderId="81" xfId="0" applyFont="1" applyFill="1" applyBorder="1" applyAlignment="1">
      <alignment horizontal="center" vertical="center"/>
    </xf>
    <xf numFmtId="0" fontId="262" fillId="66" borderId="81" xfId="0" applyFont="1" applyFill="1" applyBorder="1" applyAlignment="1">
      <alignment vertical="center" wrapText="1"/>
    </xf>
    <xf numFmtId="0" fontId="262" fillId="66" borderId="81" xfId="0" applyFont="1" applyFill="1" applyBorder="1" applyAlignment="1">
      <alignment horizontal="center" vertical="center" wrapText="1"/>
    </xf>
    <xf numFmtId="3" fontId="262" fillId="66" borderId="81" xfId="20514" applyNumberFormat="1" applyFont="1" applyFill="1" applyBorder="1" applyAlignment="1">
      <alignment horizontal="right" vertical="center"/>
    </xf>
    <xf numFmtId="169" fontId="262" fillId="0" borderId="81" xfId="20514" applyNumberFormat="1" applyFont="1" applyFill="1" applyBorder="1" applyAlignment="1">
      <alignment horizontal="right" vertical="center"/>
    </xf>
    <xf numFmtId="0" fontId="262" fillId="0" borderId="81" xfId="20514" applyNumberFormat="1" applyFont="1" applyFill="1" applyBorder="1" applyAlignment="1">
      <alignment horizontal="right" vertical="center"/>
    </xf>
    <xf numFmtId="0" fontId="260" fillId="66" borderId="81" xfId="0" quotePrefix="1" applyFont="1" applyFill="1" applyBorder="1" applyAlignment="1">
      <alignment horizontal="center" vertical="center"/>
    </xf>
    <xf numFmtId="0" fontId="260" fillId="66" borderId="81" xfId="0" applyFont="1" applyFill="1" applyBorder="1" applyAlignment="1">
      <alignment vertical="center" wrapText="1"/>
    </xf>
    <xf numFmtId="0" fontId="260" fillId="66" borderId="81" xfId="0" applyFont="1" applyFill="1" applyBorder="1" applyAlignment="1">
      <alignment horizontal="center" vertical="center" wrapText="1"/>
    </xf>
    <xf numFmtId="0" fontId="260" fillId="0" borderId="81" xfId="20514" quotePrefix="1" applyNumberFormat="1" applyFont="1" applyFill="1" applyBorder="1" applyAlignment="1">
      <alignment horizontal="right" vertical="center"/>
    </xf>
    <xf numFmtId="175" fontId="36" fillId="66" borderId="81" xfId="20514" applyNumberFormat="1" applyFont="1" applyFill="1" applyBorder="1" applyAlignment="1">
      <alignment horizontal="left" vertical="center" wrapText="1"/>
    </xf>
    <xf numFmtId="175" fontId="36" fillId="66" borderId="81" xfId="20514" applyNumberFormat="1" applyFont="1" applyFill="1" applyBorder="1" applyAlignment="1">
      <alignment horizontal="center" vertical="center" wrapText="1"/>
    </xf>
    <xf numFmtId="0" fontId="36" fillId="66" borderId="81" xfId="0" applyFont="1" applyFill="1" applyBorder="1" applyAlignment="1">
      <alignment horizontal="center" vertical="center" wrapText="1"/>
    </xf>
    <xf numFmtId="0" fontId="36" fillId="66" borderId="81" xfId="0" applyFont="1" applyFill="1" applyBorder="1" applyAlignment="1">
      <alignment vertical="center" wrapText="1"/>
    </xf>
    <xf numFmtId="3" fontId="260" fillId="66" borderId="81" xfId="0" applyNumberFormat="1" applyFont="1" applyFill="1" applyBorder="1" applyAlignment="1">
      <alignment horizontal="right" vertical="center"/>
    </xf>
    <xf numFmtId="169" fontId="260" fillId="0" borderId="76" xfId="20514" applyNumberFormat="1" applyFont="1" applyFill="1" applyBorder="1" applyAlignment="1">
      <alignment horizontal="right"/>
    </xf>
    <xf numFmtId="0" fontId="261" fillId="69" borderId="76" xfId="20516" applyFont="1" applyFill="1" applyBorder="1" applyAlignment="1">
      <alignment horizontal="left" vertical="center" wrapText="1"/>
    </xf>
    <xf numFmtId="0" fontId="261" fillId="69" borderId="76" xfId="20516" applyFont="1" applyFill="1" applyBorder="1" applyAlignment="1">
      <alignment horizontal="center" vertical="center" wrapText="1"/>
    </xf>
    <xf numFmtId="3" fontId="262" fillId="69" borderId="76" xfId="0" applyNumberFormat="1" applyFont="1" applyFill="1" applyBorder="1"/>
    <xf numFmtId="0" fontId="261" fillId="0" borderId="81" xfId="2612" applyFont="1" applyBorder="1" applyAlignment="1">
      <alignment horizontal="center" vertical="center"/>
    </xf>
    <xf numFmtId="3" fontId="261" fillId="0" borderId="76" xfId="2612" applyNumberFormat="1" applyFont="1" applyFill="1" applyBorder="1" applyAlignment="1">
      <alignment horizontal="right" vertical="center"/>
    </xf>
    <xf numFmtId="169" fontId="260" fillId="0" borderId="76" xfId="20514" applyNumberFormat="1" applyFont="1" applyFill="1" applyBorder="1" applyAlignment="1">
      <alignment horizontal="right" vertical="center"/>
    </xf>
    <xf numFmtId="169" fontId="260" fillId="0" borderId="76" xfId="20514" quotePrefix="1" applyNumberFormat="1" applyFont="1" applyFill="1" applyBorder="1" applyAlignment="1">
      <alignment horizontal="right" vertical="center"/>
    </xf>
    <xf numFmtId="3" fontId="261" fillId="0" borderId="76" xfId="1674" applyNumberFormat="1" applyFont="1" applyFill="1" applyBorder="1" applyAlignment="1" applyProtection="1">
      <alignment horizontal="right" vertical="center" wrapText="1"/>
      <protection locked="0"/>
    </xf>
    <xf numFmtId="169" fontId="262" fillId="0" borderId="76" xfId="20514" applyNumberFormat="1" applyFont="1" applyFill="1" applyBorder="1" applyAlignment="1">
      <alignment horizontal="right" vertical="center"/>
    </xf>
    <xf numFmtId="0" fontId="261" fillId="0" borderId="81" xfId="2612" applyFont="1" applyFill="1" applyBorder="1" applyAlignment="1">
      <alignment horizontal="center" vertical="center"/>
    </xf>
    <xf numFmtId="0" fontId="36" fillId="0" borderId="76" xfId="0" applyFont="1" applyFill="1" applyBorder="1" applyAlignment="1">
      <alignment horizontal="center" vertical="center" wrapText="1"/>
    </xf>
    <xf numFmtId="3" fontId="261" fillId="0" borderId="76" xfId="2612" applyNumberFormat="1" applyFont="1" applyBorder="1" applyAlignment="1">
      <alignment horizontal="right" vertical="center"/>
    </xf>
    <xf numFmtId="169" fontId="261" fillId="0" borderId="76" xfId="20514" applyNumberFormat="1" applyFont="1" applyFill="1" applyBorder="1" applyAlignment="1">
      <alignment horizontal="right" vertical="center"/>
    </xf>
    <xf numFmtId="0" fontId="36" fillId="0" borderId="81" xfId="2612" applyFont="1" applyBorder="1" applyAlignment="1">
      <alignment horizontal="center" vertical="center"/>
    </xf>
    <xf numFmtId="0" fontId="36" fillId="0" borderId="76" xfId="20513" applyFont="1" applyFill="1" applyBorder="1" applyAlignment="1">
      <alignment horizontal="left" vertical="center" wrapText="1"/>
    </xf>
    <xf numFmtId="0" fontId="36" fillId="0" borderId="76" xfId="20513" applyFont="1" applyFill="1" applyBorder="1" applyAlignment="1">
      <alignment horizontal="center" vertical="center" wrapText="1"/>
    </xf>
    <xf numFmtId="3" fontId="36" fillId="0" borderId="76" xfId="2612" applyNumberFormat="1" applyFont="1" applyFill="1" applyBorder="1" applyAlignment="1">
      <alignment horizontal="right" vertical="center" wrapText="1"/>
    </xf>
    <xf numFmtId="3" fontId="36" fillId="0" borderId="76" xfId="1674" applyNumberFormat="1" applyFont="1" applyFill="1" applyBorder="1" applyAlignment="1" applyProtection="1">
      <alignment horizontal="right" vertical="center" wrapText="1"/>
      <protection locked="0"/>
    </xf>
    <xf numFmtId="0" fontId="261" fillId="0" borderId="76" xfId="2612" quotePrefix="1" applyFont="1" applyFill="1" applyBorder="1" applyAlignment="1">
      <alignment horizontal="center" vertical="center"/>
    </xf>
    <xf numFmtId="0" fontId="36" fillId="0" borderId="76" xfId="2612" applyFont="1" applyFill="1" applyBorder="1" applyAlignment="1">
      <alignment horizontal="center" vertical="center" wrapText="1"/>
    </xf>
    <xf numFmtId="0" fontId="260" fillId="0" borderId="76" xfId="0" applyFont="1" applyFill="1" applyBorder="1"/>
    <xf numFmtId="0" fontId="260" fillId="0" borderId="76" xfId="20514" applyNumberFormat="1" applyFont="1" applyFill="1" applyBorder="1" applyAlignment="1">
      <alignment horizontal="right"/>
    </xf>
    <xf numFmtId="169" fontId="260" fillId="0" borderId="76" xfId="20514" quotePrefix="1" applyNumberFormat="1" applyFont="1" applyFill="1" applyBorder="1" applyAlignment="1">
      <alignment horizontal="right"/>
    </xf>
    <xf numFmtId="0" fontId="36" fillId="0" borderId="76" xfId="2612" quotePrefix="1" applyFont="1" applyFill="1" applyBorder="1" applyAlignment="1">
      <alignment horizontal="center" vertical="center"/>
    </xf>
    <xf numFmtId="175" fontId="36" fillId="0" borderId="76" xfId="20514" applyNumberFormat="1" applyFont="1" applyFill="1" applyBorder="1" applyAlignment="1">
      <alignment horizontal="left" vertical="center" wrapText="1"/>
    </xf>
    <xf numFmtId="175" fontId="36" fillId="0" borderId="76" xfId="20514" applyNumberFormat="1" applyFont="1" applyFill="1" applyBorder="1" applyAlignment="1">
      <alignment horizontal="center" vertical="center" wrapText="1"/>
    </xf>
    <xf numFmtId="0" fontId="36" fillId="0" borderId="76" xfId="0" applyFont="1" applyFill="1" applyBorder="1" applyAlignment="1">
      <alignment vertical="center" wrapText="1"/>
    </xf>
    <xf numFmtId="0" fontId="261" fillId="66" borderId="76" xfId="0" applyFont="1" applyFill="1" applyBorder="1" applyAlignment="1">
      <alignment vertical="center" wrapText="1"/>
    </xf>
    <xf numFmtId="0" fontId="261" fillId="0" borderId="76" xfId="20513" applyFont="1" applyFill="1" applyBorder="1" applyAlignment="1">
      <alignment horizontal="left" vertical="center" wrapText="1"/>
    </xf>
    <xf numFmtId="0" fontId="261" fillId="0" borderId="76" xfId="2612" applyFont="1" applyFill="1" applyBorder="1" applyAlignment="1">
      <alignment horizontal="center" vertical="center"/>
    </xf>
    <xf numFmtId="0" fontId="261" fillId="0" borderId="76" xfId="2612" applyFont="1" applyFill="1" applyBorder="1" applyAlignment="1">
      <alignment horizontal="justify" vertical="center" wrapText="1"/>
    </xf>
    <xf numFmtId="0" fontId="261" fillId="0" borderId="76" xfId="2612" applyFont="1" applyFill="1" applyBorder="1" applyAlignment="1">
      <alignment horizontal="center" vertical="center" wrapText="1"/>
    </xf>
    <xf numFmtId="3" fontId="261" fillId="0" borderId="76" xfId="2612" applyNumberFormat="1" applyFont="1" applyFill="1" applyBorder="1" applyAlignment="1">
      <alignment horizontal="right" vertical="center" wrapText="1"/>
    </xf>
    <xf numFmtId="169" fontId="261" fillId="0" borderId="76" xfId="20514" applyNumberFormat="1" applyFont="1" applyFill="1" applyBorder="1" applyAlignment="1">
      <alignment horizontal="right" vertical="center" wrapText="1"/>
    </xf>
    <xf numFmtId="0" fontId="261" fillId="0" borderId="76" xfId="20514" applyNumberFormat="1" applyFont="1" applyFill="1" applyBorder="1" applyAlignment="1">
      <alignment horizontal="right" vertical="center" wrapText="1"/>
    </xf>
    <xf numFmtId="169" fontId="261" fillId="0" borderId="76" xfId="2612" applyNumberFormat="1" applyFont="1" applyFill="1" applyBorder="1" applyAlignment="1">
      <alignment horizontal="right" vertical="center" wrapText="1"/>
    </xf>
    <xf numFmtId="169" fontId="261" fillId="0" borderId="76" xfId="20514" applyFont="1" applyFill="1" applyBorder="1" applyAlignment="1">
      <alignment horizontal="right" vertical="center" wrapText="1"/>
    </xf>
    <xf numFmtId="0" fontId="261" fillId="0" borderId="76" xfId="20513" applyFont="1" applyFill="1" applyBorder="1" applyAlignment="1">
      <alignment horizontal="center" vertical="center" wrapText="1"/>
    </xf>
    <xf numFmtId="169" fontId="262" fillId="0" borderId="76" xfId="20514" quotePrefix="1" applyNumberFormat="1" applyFont="1" applyFill="1" applyBorder="1" applyAlignment="1">
      <alignment horizontal="right"/>
    </xf>
    <xf numFmtId="0" fontId="261" fillId="66" borderId="77" xfId="0" applyFont="1" applyFill="1" applyBorder="1" applyAlignment="1">
      <alignment vertical="center" wrapText="1"/>
    </xf>
    <xf numFmtId="0" fontId="261" fillId="0" borderId="77" xfId="0" applyFont="1" applyFill="1" applyBorder="1" applyAlignment="1">
      <alignment horizontal="center" vertical="center" wrapText="1"/>
    </xf>
    <xf numFmtId="0" fontId="269" fillId="66" borderId="76" xfId="0" quotePrefix="1" applyFont="1" applyFill="1" applyBorder="1" applyAlignment="1">
      <alignment horizontal="center" vertical="center"/>
    </xf>
    <xf numFmtId="1" fontId="83" fillId="66" borderId="76" xfId="20518" applyNumberFormat="1" applyFont="1" applyFill="1" applyBorder="1" applyAlignment="1">
      <alignment horizontal="center" vertical="center" wrapText="1"/>
    </xf>
    <xf numFmtId="0" fontId="269" fillId="0" borderId="76" xfId="0" applyFont="1" applyFill="1" applyBorder="1" applyAlignment="1">
      <alignment horizontal="center" vertical="center"/>
    </xf>
    <xf numFmtId="0" fontId="269" fillId="0" borderId="76" xfId="0" applyFont="1" applyFill="1" applyBorder="1" applyAlignment="1">
      <alignment vertical="center" wrapText="1"/>
    </xf>
    <xf numFmtId="0" fontId="81" fillId="0" borderId="76" xfId="20516" applyFont="1" applyFill="1" applyBorder="1" applyAlignment="1">
      <alignment horizontal="center" vertical="center" wrapText="1"/>
    </xf>
    <xf numFmtId="367" fontId="269" fillId="0" borderId="76" xfId="20514" applyNumberFormat="1" applyFont="1" applyFill="1" applyBorder="1" applyAlignment="1">
      <alignment horizontal="center" vertical="center"/>
    </xf>
    <xf numFmtId="3" fontId="264" fillId="0" borderId="76" xfId="20514" applyNumberFormat="1" applyFont="1" applyFill="1" applyBorder="1" applyAlignment="1">
      <alignment horizontal="center" vertical="center" wrapText="1"/>
    </xf>
    <xf numFmtId="3" fontId="264" fillId="0" borderId="76" xfId="20514" applyNumberFormat="1" applyFont="1" applyFill="1" applyBorder="1" applyAlignment="1">
      <alignment horizontal="right" vertical="center" wrapText="1"/>
    </xf>
    <xf numFmtId="0" fontId="272" fillId="0" borderId="0" xfId="0" applyFont="1" applyFill="1"/>
    <xf numFmtId="0" fontId="83" fillId="0" borderId="76" xfId="20513" applyFont="1" applyFill="1" applyBorder="1" applyAlignment="1">
      <alignment horizontal="left" vertical="center" wrapText="1"/>
    </xf>
    <xf numFmtId="0" fontId="81" fillId="0" borderId="76" xfId="20513" applyFont="1" applyFill="1" applyBorder="1" applyAlignment="1">
      <alignment horizontal="center" vertical="center" wrapText="1"/>
    </xf>
    <xf numFmtId="0" fontId="36" fillId="0" borderId="81" xfId="2612" applyFont="1" applyFill="1" applyBorder="1" applyAlignment="1">
      <alignment horizontal="center" vertical="center"/>
    </xf>
    <xf numFmtId="0" fontId="264" fillId="0" borderId="76" xfId="2612" applyFont="1" applyFill="1" applyBorder="1" applyAlignment="1">
      <alignment horizontal="center" vertical="center"/>
    </xf>
    <xf numFmtId="0" fontId="264" fillId="0" borderId="76" xfId="2612" applyFont="1" applyFill="1" applyBorder="1" applyAlignment="1">
      <alignment vertical="center" wrapText="1"/>
    </xf>
    <xf numFmtId="0" fontId="81" fillId="0" borderId="76" xfId="2612" applyFont="1" applyFill="1" applyBorder="1" applyAlignment="1">
      <alignment horizontal="center" vertical="center" wrapText="1"/>
    </xf>
    <xf numFmtId="367" fontId="264" fillId="0" borderId="76" xfId="20514" applyNumberFormat="1" applyFont="1" applyFill="1" applyBorder="1" applyAlignment="1">
      <alignment horizontal="center" vertical="center"/>
    </xf>
    <xf numFmtId="3" fontId="264" fillId="0" borderId="76" xfId="2612" applyNumberFormat="1" applyFont="1" applyFill="1" applyBorder="1" applyAlignment="1">
      <alignment horizontal="center" vertical="center"/>
    </xf>
    <xf numFmtId="3" fontId="264" fillId="0" borderId="76" xfId="2612" applyNumberFormat="1" applyFont="1" applyFill="1" applyBorder="1" applyAlignment="1">
      <alignment horizontal="right" vertical="center"/>
    </xf>
    <xf numFmtId="0" fontId="274" fillId="0" borderId="0" xfId="0" applyFont="1" applyFill="1"/>
    <xf numFmtId="0" fontId="83" fillId="0" borderId="76" xfId="2612" quotePrefix="1" applyFont="1" applyFill="1" applyBorder="1" applyAlignment="1">
      <alignment horizontal="center" vertical="center"/>
    </xf>
    <xf numFmtId="367" fontId="83" fillId="0" borderId="76" xfId="20514" applyNumberFormat="1" applyFont="1" applyFill="1" applyBorder="1" applyAlignment="1">
      <alignment horizontal="center" vertical="center"/>
    </xf>
    <xf numFmtId="3" fontId="83" fillId="0" borderId="76" xfId="2612" applyNumberFormat="1" applyFont="1" applyFill="1" applyBorder="1" applyAlignment="1">
      <alignment horizontal="center" vertical="center"/>
    </xf>
    <xf numFmtId="3" fontId="83" fillId="0" borderId="76" xfId="2612" applyNumberFormat="1" applyFont="1" applyFill="1" applyBorder="1" applyAlignment="1">
      <alignment horizontal="right" vertical="center"/>
    </xf>
    <xf numFmtId="367" fontId="227" fillId="0" borderId="76" xfId="20514" applyNumberFormat="1" applyFont="1" applyFill="1" applyBorder="1" applyAlignment="1">
      <alignment horizontal="center" vertical="center"/>
    </xf>
    <xf numFmtId="3" fontId="83" fillId="0" borderId="76" xfId="20514" applyNumberFormat="1" applyFont="1" applyFill="1" applyBorder="1" applyAlignment="1">
      <alignment horizontal="center" vertical="center" wrapText="1"/>
    </xf>
    <xf numFmtId="3" fontId="83" fillId="0" borderId="76" xfId="20514" applyNumberFormat="1" applyFont="1" applyFill="1" applyBorder="1" applyAlignment="1">
      <alignment horizontal="right" vertical="center" wrapText="1"/>
    </xf>
    <xf numFmtId="0" fontId="264" fillId="0" borderId="76" xfId="20516" applyFont="1" applyFill="1" applyBorder="1" applyAlignment="1">
      <alignment horizontal="center" vertical="center" wrapText="1"/>
    </xf>
    <xf numFmtId="0" fontId="83" fillId="0" borderId="76" xfId="20516" applyFont="1" applyFill="1" applyBorder="1" applyAlignment="1">
      <alignment horizontal="center" vertical="center" wrapText="1"/>
    </xf>
    <xf numFmtId="0" fontId="83" fillId="0" borderId="76" xfId="2612" applyFont="1" applyFill="1" applyBorder="1" applyAlignment="1">
      <alignment horizontal="center" vertical="center"/>
    </xf>
    <xf numFmtId="3" fontId="83" fillId="0" borderId="76" xfId="2612" applyNumberFormat="1" applyFont="1" applyFill="1" applyBorder="1" applyAlignment="1">
      <alignment horizontal="center" vertical="center" wrapText="1"/>
    </xf>
    <xf numFmtId="3" fontId="83" fillId="0" borderId="76" xfId="2612" applyNumberFormat="1" applyFont="1" applyFill="1" applyBorder="1" applyAlignment="1">
      <alignment horizontal="right" vertical="center" wrapText="1"/>
    </xf>
    <xf numFmtId="0" fontId="264" fillId="0" borderId="76" xfId="2612" quotePrefix="1" applyFont="1" applyFill="1" applyBorder="1" applyAlignment="1">
      <alignment horizontal="center" vertical="center"/>
    </xf>
    <xf numFmtId="0" fontId="264" fillId="0" borderId="76" xfId="2612" applyFont="1" applyFill="1" applyBorder="1" applyAlignment="1">
      <alignment horizontal="justify" vertical="center" wrapText="1"/>
    </xf>
    <xf numFmtId="367" fontId="264" fillId="0" borderId="76" xfId="20514" applyNumberFormat="1" applyFont="1" applyFill="1" applyBorder="1" applyAlignment="1">
      <alignment horizontal="center" vertical="center" wrapText="1"/>
    </xf>
    <xf numFmtId="3" fontId="264" fillId="0" borderId="76" xfId="2612" applyNumberFormat="1" applyFont="1" applyFill="1" applyBorder="1" applyAlignment="1">
      <alignment horizontal="right" vertical="center" wrapText="1"/>
    </xf>
    <xf numFmtId="0" fontId="83" fillId="0" borderId="76" xfId="2612" applyFont="1" applyFill="1" applyBorder="1" applyAlignment="1">
      <alignment horizontal="justify" vertical="center" wrapText="1"/>
    </xf>
    <xf numFmtId="0" fontId="282" fillId="0" borderId="76" xfId="2612" quotePrefix="1" applyFont="1" applyFill="1" applyBorder="1" applyAlignment="1">
      <alignment horizontal="center" vertical="center"/>
    </xf>
    <xf numFmtId="0" fontId="282" fillId="0" borderId="76" xfId="2612" applyFont="1" applyFill="1" applyBorder="1" applyAlignment="1">
      <alignment horizontal="justify" vertical="center" wrapText="1"/>
    </xf>
    <xf numFmtId="0" fontId="283" fillId="0" borderId="76" xfId="2612" applyFont="1" applyFill="1" applyBorder="1" applyAlignment="1">
      <alignment horizontal="center" vertical="center" wrapText="1"/>
    </xf>
    <xf numFmtId="367" fontId="282" fillId="0" borderId="76" xfId="20514" applyNumberFormat="1" applyFont="1" applyFill="1" applyBorder="1" applyAlignment="1">
      <alignment horizontal="center" vertical="center" wrapText="1"/>
    </xf>
    <xf numFmtId="3" fontId="282" fillId="0" borderId="76" xfId="2612" applyNumberFormat="1" applyFont="1" applyFill="1" applyBorder="1" applyAlignment="1">
      <alignment horizontal="center" vertical="center" wrapText="1"/>
    </xf>
    <xf numFmtId="3" fontId="282" fillId="0" borderId="76" xfId="2612" applyNumberFormat="1" applyFont="1" applyFill="1" applyBorder="1" applyAlignment="1">
      <alignment horizontal="right" vertical="center" wrapText="1"/>
    </xf>
    <xf numFmtId="0" fontId="284" fillId="0" borderId="0" xfId="0" applyFont="1" applyFill="1"/>
    <xf numFmtId="0" fontId="227" fillId="0" borderId="76" xfId="0" quotePrefix="1" applyFont="1" applyFill="1" applyBorder="1" applyAlignment="1">
      <alignment horizontal="center" vertical="center"/>
    </xf>
    <xf numFmtId="0" fontId="83" fillId="0" borderId="76" xfId="4615" applyFont="1" applyFill="1" applyBorder="1" applyAlignment="1">
      <alignment horizontal="left" vertical="center" wrapText="1"/>
    </xf>
    <xf numFmtId="0" fontId="81" fillId="0" borderId="76" xfId="4615" applyFont="1" applyFill="1" applyBorder="1" applyAlignment="1">
      <alignment horizontal="center" vertical="center" wrapText="1"/>
    </xf>
    <xf numFmtId="0" fontId="264" fillId="66" borderId="76" xfId="0" quotePrefix="1" applyFont="1" applyFill="1" applyBorder="1" applyAlignment="1">
      <alignment horizontal="center" vertical="center"/>
    </xf>
    <xf numFmtId="1" fontId="264" fillId="66" borderId="76" xfId="20518"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xf>
    <xf numFmtId="175" fontId="83" fillId="0" borderId="0" xfId="0" applyNumberFormat="1" applyFont="1" applyFill="1"/>
    <xf numFmtId="0" fontId="269" fillId="69" borderId="76" xfId="0" applyFont="1" applyFill="1" applyBorder="1" applyAlignment="1">
      <alignment horizontal="center" vertical="center"/>
    </xf>
    <xf numFmtId="43" fontId="269" fillId="69" borderId="76" xfId="0" applyNumberFormat="1" applyFont="1" applyFill="1" applyBorder="1" applyAlignment="1">
      <alignment horizontal="center" vertical="center"/>
    </xf>
    <xf numFmtId="0" fontId="261" fillId="66" borderId="76" xfId="2612" applyFont="1" applyFill="1" applyBorder="1" applyAlignment="1">
      <alignment horizontal="center" vertical="center"/>
    </xf>
    <xf numFmtId="0" fontId="264" fillId="0" borderId="76" xfId="20518" applyFont="1" applyBorder="1" applyAlignment="1">
      <alignment horizontal="center" vertical="center" wrapText="1"/>
    </xf>
    <xf numFmtId="3" fontId="264" fillId="0" borderId="76" xfId="20518" quotePrefix="1" applyNumberFormat="1" applyFont="1" applyBorder="1" applyAlignment="1">
      <alignment horizontal="center" vertical="center" wrapText="1"/>
    </xf>
    <xf numFmtId="3" fontId="111" fillId="0" borderId="9" xfId="20518" quotePrefix="1" applyNumberFormat="1" applyFont="1" applyBorder="1" applyAlignment="1">
      <alignment horizontal="center" vertical="center" wrapText="1"/>
    </xf>
    <xf numFmtId="0" fontId="264" fillId="0" borderId="9" xfId="20518" applyFont="1" applyBorder="1" applyAlignment="1">
      <alignment horizontal="center" vertical="center" wrapText="1"/>
    </xf>
    <xf numFmtId="0" fontId="270" fillId="0" borderId="9" xfId="20518" applyFont="1" applyBorder="1" applyAlignment="1">
      <alignment horizontal="center" vertical="center" wrapText="1"/>
    </xf>
    <xf numFmtId="3" fontId="264" fillId="0" borderId="9" xfId="20518" quotePrefix="1" applyNumberFormat="1" applyFont="1" applyBorder="1" applyAlignment="1">
      <alignment horizontal="center" vertical="center" wrapText="1"/>
    </xf>
    <xf numFmtId="169" fontId="261" fillId="0" borderId="68" xfId="20514" applyFont="1" applyFill="1" applyBorder="1" applyAlignment="1">
      <alignment horizontal="center" vertical="center"/>
    </xf>
    <xf numFmtId="0" fontId="290" fillId="0" borderId="76" xfId="2612" applyFont="1" applyBorder="1" applyAlignment="1">
      <alignment horizontal="center" vertical="center"/>
    </xf>
    <xf numFmtId="367" fontId="290" fillId="0" borderId="76" xfId="20514" applyNumberFormat="1" applyFont="1" applyBorder="1" applyAlignment="1">
      <alignment horizontal="center" vertical="center"/>
    </xf>
    <xf numFmtId="0" fontId="290" fillId="0" borderId="76" xfId="2612" applyFont="1" applyBorder="1" applyAlignment="1">
      <alignment vertical="center"/>
    </xf>
    <xf numFmtId="0" fontId="283" fillId="0" borderId="76" xfId="20513" applyFont="1" applyBorder="1" applyAlignment="1">
      <alignment horizontal="center" vertical="center" wrapText="1"/>
    </xf>
    <xf numFmtId="367" fontId="279" fillId="0" borderId="76" xfId="20514" applyNumberFormat="1" applyFont="1" applyBorder="1" applyAlignment="1">
      <alignment horizontal="center"/>
    </xf>
    <xf numFmtId="0" fontId="279" fillId="0" borderId="76" xfId="0" applyFont="1" applyBorder="1" applyAlignment="1">
      <alignment horizontal="center"/>
    </xf>
    <xf numFmtId="0" fontId="279" fillId="0" borderId="76" xfId="0" applyFont="1" applyBorder="1"/>
    <xf numFmtId="0" fontId="290" fillId="0" borderId="76" xfId="2612" applyFont="1" applyBorder="1" applyAlignment="1">
      <alignment horizontal="justify" vertical="center" wrapText="1"/>
    </xf>
    <xf numFmtId="0" fontId="290" fillId="0" borderId="76" xfId="20513" applyFont="1" applyBorder="1" applyAlignment="1">
      <alignment horizontal="left" vertical="center" wrapText="1"/>
    </xf>
    <xf numFmtId="3" fontId="258" fillId="0" borderId="0" xfId="0" applyNumberFormat="1" applyFont="1"/>
    <xf numFmtId="0" fontId="258" fillId="0" borderId="0" xfId="0" applyFont="1"/>
    <xf numFmtId="0" fontId="261" fillId="70" borderId="76" xfId="2612" quotePrefix="1" applyFont="1" applyFill="1" applyBorder="1" applyAlignment="1">
      <alignment horizontal="center" vertical="center" wrapText="1"/>
    </xf>
    <xf numFmtId="367" fontId="261" fillId="70" borderId="76" xfId="20514" applyNumberFormat="1" applyFont="1" applyFill="1" applyBorder="1" applyAlignment="1">
      <alignment vertical="center" wrapText="1"/>
    </xf>
    <xf numFmtId="0" fontId="261" fillId="70" borderId="76" xfId="2612" applyFont="1" applyFill="1" applyBorder="1" applyAlignment="1">
      <alignment vertical="center" wrapText="1"/>
    </xf>
    <xf numFmtId="0" fontId="258" fillId="0" borderId="0" xfId="0" applyFont="1" applyFill="1"/>
    <xf numFmtId="169" fontId="111" fillId="0" borderId="76" xfId="20514" applyNumberFormat="1" applyFont="1" applyFill="1" applyBorder="1" applyAlignment="1">
      <alignment horizontal="center" vertical="center" wrapText="1"/>
    </xf>
    <xf numFmtId="0" fontId="269" fillId="70" borderId="76" xfId="0" applyFont="1" applyFill="1" applyBorder="1" applyAlignment="1">
      <alignment horizontal="center" vertical="center"/>
    </xf>
    <xf numFmtId="367" fontId="269" fillId="70" borderId="76" xfId="20514" applyNumberFormat="1" applyFont="1" applyFill="1" applyBorder="1" applyAlignment="1">
      <alignment horizontal="center" vertical="center"/>
    </xf>
    <xf numFmtId="3" fontId="269" fillId="70" borderId="76" xfId="20514" applyNumberFormat="1" applyFont="1" applyFill="1" applyBorder="1" applyAlignment="1">
      <alignment horizontal="right" vertical="center"/>
    </xf>
    <xf numFmtId="0" fontId="282" fillId="0" borderId="76" xfId="20516" applyFont="1" applyFill="1" applyBorder="1" applyAlignment="1">
      <alignment horizontal="center" vertical="center" wrapText="1"/>
    </xf>
    <xf numFmtId="0" fontId="265" fillId="0" borderId="76" xfId="2612" applyFont="1" applyFill="1" applyBorder="1" applyAlignment="1">
      <alignment horizontal="justify" vertical="center" wrapText="1"/>
    </xf>
    <xf numFmtId="0" fontId="265" fillId="0" borderId="76" xfId="2612" applyFont="1" applyFill="1" applyBorder="1" applyAlignment="1">
      <alignment horizontal="center" vertical="center" wrapText="1"/>
    </xf>
    <xf numFmtId="367" fontId="278" fillId="0" borderId="76" xfId="20514" applyNumberFormat="1" applyFont="1" applyFill="1" applyBorder="1" applyAlignment="1">
      <alignment horizontal="center" vertical="center"/>
    </xf>
    <xf numFmtId="3" fontId="282" fillId="0" borderId="76" xfId="20514" applyNumberFormat="1" applyFont="1" applyFill="1" applyBorder="1" applyAlignment="1">
      <alignment horizontal="center" vertical="center" wrapText="1"/>
    </xf>
    <xf numFmtId="3" fontId="282" fillId="0" borderId="76" xfId="20514" applyNumberFormat="1" applyFont="1" applyFill="1" applyBorder="1" applyAlignment="1">
      <alignment horizontal="right" vertical="center" wrapText="1"/>
    </xf>
    <xf numFmtId="0" fontId="279" fillId="0" borderId="0" xfId="0" applyFont="1" applyFill="1"/>
    <xf numFmtId="169" fontId="83" fillId="0" borderId="76" xfId="20514" applyFont="1" applyFill="1" applyBorder="1" applyAlignment="1">
      <alignment horizontal="center" vertical="center"/>
    </xf>
    <xf numFmtId="169" fontId="83" fillId="66" borderId="76" xfId="20514" applyFont="1" applyFill="1" applyBorder="1" applyAlignment="1">
      <alignment horizontal="center" vertical="center" wrapText="1"/>
    </xf>
    <xf numFmtId="169" fontId="272" fillId="0" borderId="0" xfId="20514" applyFont="1" applyAlignment="1">
      <alignment horizontal="center"/>
    </xf>
    <xf numFmtId="169" fontId="264" fillId="66" borderId="76" xfId="20514" applyFont="1" applyFill="1" applyBorder="1" applyAlignment="1">
      <alignment vertical="center"/>
    </xf>
    <xf numFmtId="368" fontId="269" fillId="68" borderId="76" xfId="20514" applyNumberFormat="1" applyFont="1" applyFill="1" applyBorder="1" applyAlignment="1">
      <alignment horizontal="center" vertical="center"/>
    </xf>
    <xf numFmtId="169" fontId="264" fillId="0" borderId="68" xfId="20514" applyFont="1" applyBorder="1" applyAlignment="1">
      <alignment horizontal="center" vertical="center" wrapText="1"/>
    </xf>
    <xf numFmtId="169" fontId="264" fillId="0" borderId="9" xfId="20514" quotePrefix="1" applyFont="1" applyBorder="1" applyAlignment="1">
      <alignment horizontal="center" vertical="center" wrapText="1"/>
    </xf>
    <xf numFmtId="169" fontId="264" fillId="69" borderId="9" xfId="20514" applyFont="1" applyFill="1" applyBorder="1" applyAlignment="1">
      <alignment horizontal="center" vertical="center" wrapText="1"/>
    </xf>
    <xf numFmtId="169" fontId="264" fillId="66" borderId="68" xfId="20514" applyFont="1" applyFill="1" applyBorder="1" applyAlignment="1">
      <alignment horizontal="center" vertical="center" wrapText="1"/>
    </xf>
    <xf numFmtId="169" fontId="83" fillId="66" borderId="76" xfId="20514" applyFont="1" applyFill="1" applyBorder="1" applyAlignment="1">
      <alignment vertical="center"/>
    </xf>
    <xf numFmtId="169" fontId="269" fillId="69" borderId="76" xfId="20514" applyFont="1" applyFill="1" applyBorder="1" applyAlignment="1">
      <alignment horizontal="center" vertical="center"/>
    </xf>
    <xf numFmtId="169" fontId="83" fillId="0" borderId="0" xfId="0" applyNumberFormat="1" applyFont="1" applyFill="1"/>
    <xf numFmtId="169" fontId="83" fillId="66" borderId="8" xfId="20514" applyNumberFormat="1" applyFont="1" applyFill="1" applyBorder="1" applyAlignment="1">
      <alignment vertical="center"/>
    </xf>
    <xf numFmtId="169" fontId="83" fillId="0" borderId="68" xfId="20518" applyNumberFormat="1" applyFont="1" applyBorder="1" applyAlignment="1">
      <alignment horizontal="center" vertical="center" wrapText="1"/>
    </xf>
    <xf numFmtId="169" fontId="264" fillId="0" borderId="68" xfId="20518" applyNumberFormat="1" applyFont="1" applyBorder="1" applyAlignment="1">
      <alignment horizontal="center" vertical="center" wrapText="1"/>
    </xf>
    <xf numFmtId="169" fontId="264" fillId="0" borderId="9" xfId="20518" quotePrefix="1" applyNumberFormat="1" applyFont="1" applyBorder="1" applyAlignment="1">
      <alignment horizontal="center" vertical="center" wrapText="1"/>
    </xf>
    <xf numFmtId="169" fontId="264" fillId="69" borderId="9" xfId="20514" applyNumberFormat="1" applyFont="1" applyFill="1" applyBorder="1" applyAlignment="1">
      <alignment horizontal="center" vertical="center" wrapText="1"/>
    </xf>
    <xf numFmtId="169" fontId="264" fillId="67" borderId="68" xfId="0" applyNumberFormat="1" applyFont="1" applyFill="1" applyBorder="1" applyAlignment="1">
      <alignment horizontal="center" vertical="center"/>
    </xf>
    <xf numFmtId="169" fontId="264" fillId="66" borderId="68" xfId="0" applyNumberFormat="1" applyFont="1" applyFill="1" applyBorder="1" applyAlignment="1">
      <alignment vertical="center"/>
    </xf>
    <xf numFmtId="169" fontId="264" fillId="66" borderId="68" xfId="0" applyNumberFormat="1" applyFont="1" applyFill="1" applyBorder="1" applyAlignment="1">
      <alignment horizontal="center" vertical="center"/>
    </xf>
    <xf numFmtId="169" fontId="264" fillId="66" borderId="68" xfId="1599" applyNumberFormat="1" applyFont="1" applyFill="1" applyBorder="1" applyAlignment="1">
      <alignment horizontal="center" vertical="center" wrapText="1"/>
    </xf>
    <xf numFmtId="169" fontId="83" fillId="0" borderId="68" xfId="0" applyNumberFormat="1" applyFont="1" applyBorder="1" applyAlignment="1">
      <alignment vertical="center"/>
    </xf>
    <xf numFmtId="169" fontId="264" fillId="66" borderId="68" xfId="20514" applyNumberFormat="1" applyFont="1" applyFill="1" applyBorder="1" applyAlignment="1">
      <alignment horizontal="center" vertical="center"/>
    </xf>
    <xf numFmtId="169" fontId="36" fillId="66" borderId="68" xfId="0" applyNumberFormat="1" applyFont="1" applyFill="1" applyBorder="1" applyAlignment="1">
      <alignment horizontal="center" vertical="center"/>
    </xf>
    <xf numFmtId="169" fontId="264" fillId="66" borderId="68" xfId="20514" applyNumberFormat="1" applyFont="1" applyFill="1" applyBorder="1" applyAlignment="1">
      <alignment vertical="center"/>
    </xf>
    <xf numFmtId="169" fontId="269" fillId="69" borderId="76" xfId="0" applyNumberFormat="1" applyFont="1" applyFill="1" applyBorder="1" applyAlignment="1">
      <alignment horizontal="center" vertical="center"/>
    </xf>
    <xf numFmtId="169" fontId="264" fillId="0" borderId="76" xfId="20514" applyNumberFormat="1" applyFont="1" applyFill="1" applyBorder="1"/>
    <xf numFmtId="169" fontId="83" fillId="0" borderId="76" xfId="20514" applyNumberFormat="1" applyFont="1" applyFill="1" applyBorder="1" applyAlignment="1">
      <alignment vertical="center"/>
    </xf>
    <xf numFmtId="169" fontId="83" fillId="66" borderId="76" xfId="0" applyNumberFormat="1" applyFont="1" applyFill="1" applyBorder="1" applyAlignment="1">
      <alignment vertical="center"/>
    </xf>
    <xf numFmtId="169" fontId="264" fillId="68" borderId="76" xfId="20514" applyNumberFormat="1" applyFont="1" applyFill="1" applyBorder="1"/>
    <xf numFmtId="0" fontId="285" fillId="66" borderId="0" xfId="0" applyFont="1" applyFill="1" applyAlignment="1">
      <alignment vertical="center"/>
    </xf>
    <xf numFmtId="243" fontId="288" fillId="0" borderId="0" xfId="20514" applyNumberFormat="1" applyFont="1"/>
    <xf numFmtId="0" fontId="261" fillId="0" borderId="51" xfId="0" applyFont="1" applyBorder="1" applyAlignment="1">
      <alignment horizontal="center" vertical="center" wrapText="1"/>
    </xf>
    <xf numFmtId="0" fontId="265"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0" fontId="291" fillId="66" borderId="0" xfId="0" applyFont="1" applyFill="1" applyAlignment="1">
      <alignment horizontal="center" vertical="center" wrapText="1"/>
    </xf>
    <xf numFmtId="169" fontId="269" fillId="0" borderId="0" xfId="20514" applyFont="1" applyAlignment="1">
      <alignment horizontal="center"/>
    </xf>
    <xf numFmtId="0" fontId="277" fillId="66" borderId="0" xfId="0" applyFont="1" applyFill="1" applyAlignment="1">
      <alignment horizontal="center" vertical="center" wrapText="1"/>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367" fontId="261" fillId="66" borderId="76" xfId="20514" applyNumberFormat="1" applyFont="1" applyFill="1" applyBorder="1" applyAlignment="1">
      <alignment horizontal="center" vertical="center" wrapText="1"/>
    </xf>
    <xf numFmtId="169" fontId="261" fillId="66" borderId="76" xfId="20514" applyFont="1" applyFill="1" applyBorder="1" applyAlignment="1">
      <alignment horizontal="center" vertical="center" wrapText="1"/>
    </xf>
    <xf numFmtId="0" fontId="36" fillId="66" borderId="8" xfId="2612" applyFont="1" applyFill="1" applyBorder="1" applyAlignment="1">
      <alignment horizontal="right" vertical="center"/>
    </xf>
    <xf numFmtId="0" fontId="261" fillId="66" borderId="76" xfId="2612" applyFont="1" applyFill="1" applyBorder="1" applyAlignment="1">
      <alignment horizontal="center" vertical="center"/>
    </xf>
    <xf numFmtId="0" fontId="261" fillId="66" borderId="76" xfId="2612" applyFont="1" applyFill="1" applyBorder="1" applyAlignment="1">
      <alignment horizontal="center" vertical="center" wrapText="1"/>
    </xf>
    <xf numFmtId="367" fontId="261" fillId="66" borderId="77" xfId="20514" applyNumberFormat="1" applyFont="1" applyFill="1" applyBorder="1" applyAlignment="1">
      <alignment horizontal="center" vertical="center" wrapText="1"/>
    </xf>
    <xf numFmtId="367" fontId="261" fillId="66" borderId="52" xfId="20514" applyNumberFormat="1" applyFont="1" applyFill="1" applyBorder="1" applyAlignment="1">
      <alignment horizontal="center" vertical="center" wrapText="1"/>
    </xf>
    <xf numFmtId="367" fontId="261" fillId="66" borderId="78" xfId="20514" applyNumberFormat="1" applyFont="1" applyFill="1" applyBorder="1" applyAlignment="1">
      <alignment horizontal="center" vertical="center" wrapText="1"/>
    </xf>
    <xf numFmtId="0" fontId="261" fillId="66" borderId="77" xfId="2612" applyFont="1" applyFill="1" applyBorder="1" applyAlignment="1">
      <alignment horizontal="center" vertical="center"/>
    </xf>
    <xf numFmtId="0" fontId="261" fillId="66" borderId="52" xfId="2612" applyFont="1" applyFill="1" applyBorder="1" applyAlignment="1">
      <alignment horizontal="center" vertical="center"/>
    </xf>
    <xf numFmtId="0" fontId="261" fillId="66" borderId="78" xfId="2612" applyFont="1" applyFill="1" applyBorder="1" applyAlignment="1">
      <alignment horizontal="center" vertical="center"/>
    </xf>
    <xf numFmtId="0" fontId="264" fillId="0" borderId="0" xfId="0" applyFont="1" applyFill="1" applyAlignment="1">
      <alignment horizontal="center" vertical="center"/>
    </xf>
    <xf numFmtId="0" fontId="81" fillId="0" borderId="76" xfId="0" applyFont="1" applyFill="1" applyBorder="1" applyAlignment="1">
      <alignment horizontal="center" vertical="center" wrapText="1"/>
    </xf>
    <xf numFmtId="0" fontId="81" fillId="0" borderId="79" xfId="20517" applyFont="1" applyFill="1" applyBorder="1" applyAlignment="1">
      <alignment horizontal="center" vertical="center" wrapText="1"/>
    </xf>
    <xf numFmtId="0" fontId="81" fillId="0" borderId="6" xfId="20517" applyFont="1" applyFill="1" applyBorder="1" applyAlignment="1">
      <alignment horizontal="center" vertical="center" wrapText="1"/>
    </xf>
    <xf numFmtId="0" fontId="81" fillId="0" borderId="9" xfId="20517" applyFont="1" applyFill="1" applyBorder="1" applyAlignment="1">
      <alignment horizontal="center" vertical="center" wrapText="1"/>
    </xf>
    <xf numFmtId="0" fontId="81" fillId="0" borderId="79" xfId="0" applyFont="1" applyFill="1" applyBorder="1" applyAlignment="1">
      <alignment horizontal="center" vertical="center" wrapText="1"/>
    </xf>
    <xf numFmtId="0" fontId="81" fillId="0" borderId="9" xfId="0" applyFont="1" applyFill="1" applyBorder="1" applyAlignment="1">
      <alignment horizontal="center" vertical="center" wrapText="1"/>
    </xf>
    <xf numFmtId="1" fontId="81" fillId="0" borderId="79" xfId="20518" applyNumberFormat="1" applyFont="1" applyFill="1" applyBorder="1" applyAlignment="1">
      <alignment horizontal="center" vertical="center" wrapText="1"/>
    </xf>
    <xf numFmtId="1" fontId="81" fillId="0" borderId="6" xfId="20518" applyNumberFormat="1" applyFont="1" applyFill="1" applyBorder="1" applyAlignment="1">
      <alignment horizontal="center" vertical="center" wrapText="1"/>
    </xf>
    <xf numFmtId="1" fontId="81" fillId="0" borderId="9" xfId="20518" applyNumberFormat="1" applyFont="1" applyFill="1" applyBorder="1" applyAlignment="1">
      <alignment horizontal="center" vertical="center" wrapText="1"/>
    </xf>
    <xf numFmtId="355" fontId="81" fillId="0" borderId="79" xfId="0" applyNumberFormat="1" applyFont="1" applyFill="1" applyBorder="1" applyAlignment="1">
      <alignment horizontal="center" vertical="center" wrapText="1"/>
    </xf>
    <xf numFmtId="355" fontId="81" fillId="0" borderId="9" xfId="0" applyNumberFormat="1" applyFont="1" applyFill="1" applyBorder="1" applyAlignment="1">
      <alignment horizontal="center" vertical="center" wrapText="1"/>
    </xf>
    <xf numFmtId="3" fontId="81" fillId="0" borderId="79" xfId="20518" applyNumberFormat="1" applyFont="1" applyFill="1" applyBorder="1" applyAlignment="1">
      <alignment horizontal="center" vertical="center" wrapText="1"/>
    </xf>
    <xf numFmtId="3" fontId="81" fillId="0" borderId="9" xfId="20518" applyNumberFormat="1" applyFont="1" applyFill="1" applyBorder="1" applyAlignment="1">
      <alignment horizontal="center" vertical="center" wrapText="1"/>
    </xf>
    <xf numFmtId="0" fontId="81" fillId="0" borderId="6" xfId="0" applyFont="1" applyFill="1" applyBorder="1" applyAlignment="1">
      <alignment horizontal="center" vertical="center" wrapText="1"/>
    </xf>
    <xf numFmtId="3" fontId="81" fillId="0" borderId="6" xfId="20518" applyNumberFormat="1" applyFont="1" applyFill="1" applyBorder="1" applyAlignment="1">
      <alignment horizontal="center" vertical="center" wrapText="1"/>
    </xf>
    <xf numFmtId="0" fontId="81" fillId="66" borderId="79" xfId="0" applyFont="1" applyFill="1" applyBorder="1" applyAlignment="1">
      <alignment horizontal="center" vertical="center" wrapText="1"/>
    </xf>
    <xf numFmtId="0" fontId="81" fillId="66" borderId="9" xfId="0" applyFont="1" applyFill="1" applyBorder="1" applyAlignment="1">
      <alignment horizontal="center" vertical="center" wrapText="1"/>
    </xf>
    <xf numFmtId="0" fontId="83" fillId="66" borderId="79" xfId="0" applyFont="1" applyFill="1" applyBorder="1" applyAlignment="1">
      <alignment horizontal="center" vertical="center" wrapText="1"/>
    </xf>
    <xf numFmtId="0" fontId="83" fillId="66" borderId="9" xfId="0"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66" borderId="69" xfId="0" quotePrefix="1" applyFont="1" applyFill="1" applyBorder="1" applyAlignment="1">
      <alignment horizontal="center" vertical="center" wrapText="1"/>
    </xf>
    <xf numFmtId="0" fontId="81" fillId="66" borderId="6" xfId="0" quotePrefix="1" applyFont="1" applyFill="1" applyBorder="1" applyAlignment="1">
      <alignment horizontal="center" vertical="center" wrapText="1"/>
    </xf>
    <xf numFmtId="0" fontId="81" fillId="66" borderId="9" xfId="0" quotePrefix="1" applyFont="1" applyFill="1" applyBorder="1" applyAlignment="1">
      <alignment horizontal="center" vertical="center" wrapText="1"/>
    </xf>
    <xf numFmtId="0" fontId="81" fillId="66" borderId="69" xfId="0" applyFont="1" applyFill="1" applyBorder="1" applyAlignment="1">
      <alignment horizontal="center" vertical="center" wrapText="1"/>
    </xf>
    <xf numFmtId="0" fontId="81" fillId="66" borderId="6" xfId="0" applyFont="1" applyFill="1" applyBorder="1" applyAlignment="1">
      <alignment horizontal="center" vertical="center" wrapText="1"/>
    </xf>
    <xf numFmtId="0" fontId="81" fillId="0" borderId="79"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9" xfId="0" applyFont="1" applyBorder="1" applyAlignment="1">
      <alignment horizontal="center" vertical="center" wrapText="1"/>
    </xf>
    <xf numFmtId="49" fontId="264" fillId="0" borderId="68" xfId="20518" applyNumberFormat="1" applyFont="1" applyBorder="1" applyAlignment="1">
      <alignment horizontal="center" vertical="center" wrapText="1"/>
    </xf>
    <xf numFmtId="3" fontId="264" fillId="0" borderId="68" xfId="20518" applyNumberFormat="1" applyFont="1" applyBorder="1" applyAlignment="1">
      <alignment horizontal="center" vertical="center" wrapText="1"/>
    </xf>
    <xf numFmtId="3" fontId="111" fillId="0" borderId="69" xfId="20518" applyNumberFormat="1" applyFont="1" applyBorder="1" applyAlignment="1">
      <alignment horizontal="center" vertical="center" wrapText="1"/>
    </xf>
    <xf numFmtId="3" fontId="111" fillId="0" borderId="6" xfId="20518" applyNumberFormat="1" applyFont="1" applyBorder="1" applyAlignment="1">
      <alignment horizontal="center" vertical="center" wrapText="1"/>
    </xf>
    <xf numFmtId="3" fontId="111" fillId="0" borderId="9" xfId="20518" applyNumberFormat="1" applyFont="1" applyBorder="1" applyAlignment="1">
      <alignment horizontal="center" vertical="center" wrapText="1"/>
    </xf>
    <xf numFmtId="3" fontId="264" fillId="0" borderId="69" xfId="20518" applyNumberFormat="1" applyFont="1" applyBorder="1" applyAlignment="1">
      <alignment horizontal="center" vertical="center" wrapText="1"/>
    </xf>
    <xf numFmtId="3" fontId="264" fillId="0" borderId="6" xfId="20518" applyNumberFormat="1" applyFont="1" applyBorder="1" applyAlignment="1">
      <alignment horizontal="center" vertical="center" wrapText="1"/>
    </xf>
    <xf numFmtId="3" fontId="264" fillId="0" borderId="9" xfId="20518" applyNumberFormat="1" applyFont="1" applyBorder="1" applyAlignment="1">
      <alignment horizontal="center" vertical="center" wrapText="1"/>
    </xf>
    <xf numFmtId="3" fontId="264" fillId="0" borderId="53" xfId="20518" applyNumberFormat="1" applyFont="1" applyBorder="1" applyAlignment="1">
      <alignment horizontal="center" vertical="center" wrapText="1"/>
    </xf>
    <xf numFmtId="3" fontId="264" fillId="0" borderId="71" xfId="20518" applyNumberFormat="1" applyFont="1" applyBorder="1" applyAlignment="1">
      <alignment horizontal="center" vertical="center" wrapText="1"/>
    </xf>
    <xf numFmtId="3" fontId="264" fillId="0" borderId="8" xfId="20518" applyNumberFormat="1" applyFont="1" applyBorder="1" applyAlignment="1">
      <alignment horizontal="center" vertical="center" wrapText="1"/>
    </xf>
    <xf numFmtId="3" fontId="264" fillId="0" borderId="74" xfId="20518" applyNumberFormat="1" applyFont="1" applyBorder="1" applyAlignment="1">
      <alignment horizontal="center" vertical="center" wrapText="1"/>
    </xf>
    <xf numFmtId="3" fontId="264" fillId="0" borderId="70" xfId="20518" applyNumberFormat="1" applyFont="1" applyBorder="1" applyAlignment="1">
      <alignment horizontal="center" vertical="center" wrapText="1"/>
    </xf>
    <xf numFmtId="3" fontId="264" fillId="0" borderId="73" xfId="20518" applyNumberFormat="1" applyFont="1" applyBorder="1" applyAlignment="1">
      <alignment horizontal="center" vertical="center" wrapText="1"/>
    </xf>
    <xf numFmtId="3" fontId="270" fillId="0" borderId="68" xfId="20518" applyNumberFormat="1" applyFont="1" applyBorder="1" applyAlignment="1">
      <alignment horizontal="center" vertical="center" wrapText="1"/>
    </xf>
    <xf numFmtId="0" fontId="269" fillId="0" borderId="53" xfId="0" applyFont="1" applyBorder="1" applyAlignment="1">
      <alignment vertical="center"/>
    </xf>
    <xf numFmtId="0" fontId="269" fillId="0" borderId="71" xfId="0" applyFont="1" applyBorder="1" applyAlignment="1">
      <alignment vertical="center"/>
    </xf>
    <xf numFmtId="0" fontId="269" fillId="0" borderId="73" xfId="0" applyFont="1" applyBorder="1" applyAlignment="1">
      <alignment vertical="center"/>
    </xf>
    <xf numFmtId="0" fontId="269" fillId="0" borderId="8" xfId="0" applyFont="1" applyBorder="1" applyAlignment="1">
      <alignment vertical="center"/>
    </xf>
    <xf numFmtId="0" fontId="269" fillId="0" borderId="74" xfId="0" applyFont="1" applyBorder="1" applyAlignment="1">
      <alignment vertical="center"/>
    </xf>
    <xf numFmtId="0" fontId="271" fillId="0" borderId="68" xfId="1" applyFont="1" applyBorder="1" applyAlignment="1">
      <alignment horizontal="center" vertical="center" wrapText="1"/>
    </xf>
    <xf numFmtId="0" fontId="277" fillId="0" borderId="0" xfId="0" applyFont="1" applyFill="1" applyAlignment="1">
      <alignment horizontal="center" vertical="center"/>
    </xf>
    <xf numFmtId="169" fontId="264" fillId="0" borderId="69" xfId="20514" applyFont="1" applyBorder="1" applyAlignment="1">
      <alignment horizontal="center" vertical="center" wrapText="1"/>
    </xf>
    <xf numFmtId="169" fontId="264" fillId="0" borderId="9" xfId="20514" applyFont="1" applyBorder="1" applyAlignment="1">
      <alignment horizontal="center" vertical="center" wrapText="1"/>
    </xf>
    <xf numFmtId="3" fontId="111" fillId="0" borderId="68" xfId="20518" applyNumberFormat="1" applyFont="1" applyBorder="1" applyAlignment="1">
      <alignment horizontal="center" vertical="center" wrapText="1"/>
    </xf>
    <xf numFmtId="3" fontId="264" fillId="0" borderId="7" xfId="20518" applyNumberFormat="1" applyFont="1" applyBorder="1" applyAlignment="1">
      <alignment horizontal="center" vertical="center" wrapText="1"/>
    </xf>
    <xf numFmtId="3" fontId="264" fillId="0" borderId="72" xfId="20518" applyNumberFormat="1" applyFont="1" applyBorder="1" applyAlignment="1">
      <alignment horizontal="center" vertical="center" wrapText="1"/>
    </xf>
    <xf numFmtId="0" fontId="269" fillId="70" borderId="77" xfId="0" applyFont="1" applyFill="1" applyBorder="1" applyAlignment="1">
      <alignment horizontal="center" vertical="center" wrapText="1"/>
    </xf>
    <xf numFmtId="0" fontId="269" fillId="70" borderId="78" xfId="0" applyFont="1" applyFill="1" applyBorder="1" applyAlignment="1">
      <alignment horizontal="center" vertical="center" wrapText="1"/>
    </xf>
    <xf numFmtId="0" fontId="264" fillId="68" borderId="77" xfId="20516" applyFont="1" applyFill="1" applyBorder="1" applyAlignment="1">
      <alignment horizontal="center" vertical="center" wrapText="1"/>
    </xf>
    <xf numFmtId="0" fontId="264" fillId="68" borderId="78" xfId="20516" applyFont="1" applyFill="1" applyBorder="1" applyAlignment="1">
      <alignment horizontal="center" vertical="center" wrapText="1"/>
    </xf>
    <xf numFmtId="0" fontId="81" fillId="0" borderId="79" xfId="20513" applyFont="1" applyFill="1" applyBorder="1" applyAlignment="1">
      <alignment horizontal="center" vertical="center" wrapText="1"/>
    </xf>
    <xf numFmtId="0" fontId="81" fillId="0" borderId="9" xfId="20513" applyFont="1" applyFill="1" applyBorder="1" applyAlignment="1">
      <alignment horizontal="center" vertical="center" wrapText="1"/>
    </xf>
    <xf numFmtId="0" fontId="81" fillId="0" borderId="79" xfId="4615" applyFont="1" applyFill="1" applyBorder="1" applyAlignment="1">
      <alignment horizontal="center" vertical="center" wrapText="1"/>
    </xf>
    <xf numFmtId="0" fontId="81" fillId="0" borderId="9" xfId="4615" applyFont="1" applyFill="1" applyBorder="1" applyAlignment="1">
      <alignment horizontal="center" vertical="center" wrapText="1"/>
    </xf>
    <xf numFmtId="0" fontId="269" fillId="66" borderId="0" xfId="0" applyFont="1" applyFill="1" applyAlignment="1">
      <alignment horizontal="center" vertical="center" wrapText="1"/>
    </xf>
    <xf numFmtId="0" fontId="264" fillId="66" borderId="76" xfId="20516" applyFont="1" applyFill="1" applyBorder="1" applyAlignment="1">
      <alignment horizontal="center" vertical="center" wrapText="1"/>
    </xf>
    <xf numFmtId="0" fontId="279" fillId="0" borderId="8" xfId="0" applyFont="1" applyBorder="1" applyAlignment="1">
      <alignment horizontal="center"/>
    </xf>
    <xf numFmtId="367" fontId="264" fillId="66" borderId="77" xfId="20514" applyNumberFormat="1" applyFont="1" applyFill="1" applyBorder="1" applyAlignment="1">
      <alignment horizontal="center" vertical="center" wrapText="1"/>
    </xf>
    <xf numFmtId="367" fontId="264" fillId="66" borderId="52" xfId="20514" applyNumberFormat="1" applyFont="1" applyFill="1" applyBorder="1" applyAlignment="1">
      <alignment horizontal="center" vertical="center" wrapText="1"/>
    </xf>
    <xf numFmtId="367" fontId="264" fillId="66" borderId="78" xfId="20514" applyNumberFormat="1" applyFont="1" applyFill="1" applyBorder="1" applyAlignment="1">
      <alignment horizontal="center" vertical="center" wrapText="1"/>
    </xf>
    <xf numFmtId="0" fontId="264" fillId="0" borderId="77" xfId="0" applyFont="1" applyFill="1" applyBorder="1" applyAlignment="1">
      <alignment horizontal="center" vertical="center" wrapText="1"/>
    </xf>
    <xf numFmtId="0" fontId="264" fillId="0" borderId="52" xfId="0" applyFont="1" applyFill="1" applyBorder="1" applyAlignment="1">
      <alignment horizontal="center" vertical="center" wrapText="1"/>
    </xf>
    <xf numFmtId="0" fontId="264" fillId="0" borderId="78" xfId="0" applyFont="1" applyFill="1" applyBorder="1" applyAlignment="1">
      <alignment horizontal="center" vertical="center" wrapText="1"/>
    </xf>
    <xf numFmtId="169" fontId="264" fillId="0" borderId="76" xfId="20514" applyFont="1" applyFill="1" applyBorder="1" applyAlignment="1">
      <alignment horizontal="center" vertical="center" wrapText="1"/>
    </xf>
    <xf numFmtId="0" fontId="285" fillId="66" borderId="0" xfId="0" applyFont="1" applyFill="1" applyAlignment="1">
      <alignment horizontal="center" vertical="center"/>
    </xf>
    <xf numFmtId="0" fontId="81" fillId="70" borderId="79" xfId="0" applyFont="1" applyFill="1" applyBorder="1" applyAlignment="1">
      <alignment horizontal="center" vertical="center" wrapText="1"/>
    </xf>
    <xf numFmtId="0" fontId="81" fillId="70" borderId="9" xfId="0" applyFont="1" applyFill="1" applyBorder="1" applyAlignment="1">
      <alignment horizontal="center" vertical="center" wrapText="1"/>
    </xf>
    <xf numFmtId="0" fontId="81" fillId="0" borderId="79" xfId="0" quotePrefix="1" applyFont="1" applyFill="1" applyBorder="1" applyAlignment="1">
      <alignment horizontal="center" vertical="center" wrapText="1"/>
    </xf>
    <xf numFmtId="0" fontId="81" fillId="0" borderId="6" xfId="0" quotePrefix="1"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264" fillId="0" borderId="79" xfId="20514" applyNumberFormat="1" applyFont="1" applyFill="1" applyBorder="1" applyAlignment="1">
      <alignment horizontal="center" vertical="center" wrapText="1"/>
    </xf>
    <xf numFmtId="0" fontId="264" fillId="0" borderId="9" xfId="20514" applyNumberFormat="1" applyFont="1" applyFill="1" applyBorder="1" applyAlignment="1">
      <alignment horizontal="center" vertical="center" wrapText="1"/>
    </xf>
    <xf numFmtId="0" fontId="36" fillId="0" borderId="79" xfId="2612" applyFont="1" applyFill="1" applyBorder="1" applyAlignment="1">
      <alignment horizontal="center" vertical="center" wrapText="1"/>
    </xf>
    <xf numFmtId="0" fontId="36" fillId="0" borderId="9" xfId="2612" applyFont="1" applyFill="1" applyBorder="1" applyAlignment="1">
      <alignment horizontal="center" vertical="center" wrapText="1"/>
    </xf>
    <xf numFmtId="0" fontId="36" fillId="66" borderId="80"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9" xfId="20513" applyFont="1" applyFill="1" applyBorder="1" applyAlignment="1">
      <alignment horizontal="center" vertical="center" wrapText="1"/>
    </xf>
    <xf numFmtId="0" fontId="36" fillId="0" borderId="9" xfId="20513" applyFont="1" applyFill="1" applyBorder="1" applyAlignment="1">
      <alignment horizontal="center" vertical="center" wrapText="1"/>
    </xf>
    <xf numFmtId="0" fontId="264" fillId="66" borderId="76" xfId="0" applyFont="1" applyFill="1" applyBorder="1" applyAlignment="1">
      <alignment horizontal="center" vertical="center" wrapText="1"/>
    </xf>
    <xf numFmtId="0" fontId="264" fillId="66" borderId="79" xfId="0" applyFont="1" applyFill="1" applyBorder="1" applyAlignment="1">
      <alignment horizontal="center" vertical="center" wrapText="1"/>
    </xf>
    <xf numFmtId="0" fontId="264" fillId="66" borderId="6" xfId="0" applyFont="1" applyFill="1" applyBorder="1" applyAlignment="1">
      <alignment horizontal="center" vertical="center" wrapText="1"/>
    </xf>
  </cellXfs>
  <cellStyles count="20527">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8"/>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1"/>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2"/>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5"/>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8"/>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9"/>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2"/>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9"/>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Co TC 2008" xfId="12705"/>
    <cellStyle name="1_Cong trinh co y kien LD_Dang_NN_2011-Tay nguyen-9-10" xfId="1165"/>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RUNG PMU 5" xfId="1188"/>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RUNG PMU 5" xfId="1229"/>
    <cellStyle name="2_Tumorong" xfId="19821"/>
    <cellStyle name="2_Tumorong 2" xfId="19822"/>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23" xfId="20522"/>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2" xfId="20526"/>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xfId="20518"/>
    <cellStyle name="Normal_Bieu mau (CV ) 2" xfId="20525"/>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2.75"/>
  <cols>
    <col min="1" max="1" width="5.83203125" style="4" customWidth="1"/>
    <col min="2" max="2" width="48.6640625" style="4" customWidth="1"/>
    <col min="3" max="4" width="9.33203125" style="4" customWidth="1"/>
    <col min="5" max="5" width="11.6640625" style="4" customWidth="1"/>
    <col min="6" max="7" width="9.33203125" style="4" customWidth="1"/>
    <col min="8" max="9" width="9.33203125" style="4"/>
    <col min="10" max="10" width="12.5" style="4" customWidth="1"/>
    <col min="11" max="16384" width="9.33203125" style="4"/>
  </cols>
  <sheetData>
    <row r="1" spans="1:13" ht="18.75">
      <c r="A1" s="588" t="s">
        <v>25</v>
      </c>
      <c r="B1" s="588"/>
      <c r="C1" s="588"/>
      <c r="D1" s="588"/>
      <c r="E1" s="588"/>
      <c r="F1" s="588"/>
      <c r="G1" s="588"/>
      <c r="H1" s="588"/>
      <c r="I1" s="588"/>
      <c r="J1" s="588"/>
      <c r="K1" s="588"/>
      <c r="L1" s="588"/>
      <c r="M1" s="588"/>
    </row>
    <row r="2" spans="1:13" ht="44.25" customHeight="1">
      <c r="A2" s="589" t="s">
        <v>32</v>
      </c>
      <c r="B2" s="588"/>
      <c r="C2" s="588"/>
      <c r="D2" s="588"/>
      <c r="E2" s="588"/>
      <c r="F2" s="588"/>
      <c r="G2" s="588"/>
      <c r="H2" s="588"/>
      <c r="I2" s="588"/>
      <c r="J2" s="588"/>
      <c r="K2" s="588"/>
      <c r="L2" s="588"/>
      <c r="M2" s="588"/>
    </row>
    <row r="3" spans="1:13" ht="15">
      <c r="A3" s="590" t="e">
        <f>#REF!</f>
        <v>#REF!</v>
      </c>
      <c r="B3" s="591"/>
      <c r="C3" s="591"/>
      <c r="D3" s="591"/>
      <c r="E3" s="591"/>
      <c r="F3" s="591"/>
      <c r="G3" s="591"/>
      <c r="H3" s="591"/>
      <c r="I3" s="591"/>
      <c r="J3" s="591"/>
      <c r="K3" s="591"/>
      <c r="L3" s="591"/>
      <c r="M3" s="591"/>
    </row>
    <row r="4" spans="1:13" ht="19.5" customHeight="1">
      <c r="A4" s="1"/>
      <c r="B4" s="1"/>
      <c r="C4" s="1"/>
      <c r="D4" s="1"/>
      <c r="E4" s="1"/>
      <c r="F4" s="1"/>
      <c r="G4" s="1"/>
      <c r="H4" s="592" t="s">
        <v>2</v>
      </c>
      <c r="I4" s="592"/>
      <c r="J4" s="592"/>
      <c r="K4" s="592"/>
      <c r="L4" s="592"/>
      <c r="M4" s="592"/>
    </row>
    <row r="5" spans="1:13" ht="24.95" customHeight="1">
      <c r="A5" s="593" t="s">
        <v>0</v>
      </c>
      <c r="B5" s="593" t="s">
        <v>34</v>
      </c>
      <c r="C5" s="596" t="s">
        <v>26</v>
      </c>
      <c r="D5" s="597"/>
      <c r="E5" s="597"/>
      <c r="F5" s="597"/>
      <c r="G5" s="598"/>
      <c r="H5" s="596" t="s">
        <v>27</v>
      </c>
      <c r="I5" s="597"/>
      <c r="J5" s="597"/>
      <c r="K5" s="597"/>
      <c r="L5" s="598"/>
      <c r="M5" s="593" t="s">
        <v>1</v>
      </c>
    </row>
    <row r="6" spans="1:13" ht="24.95" customHeight="1">
      <c r="A6" s="594"/>
      <c r="B6" s="594"/>
      <c r="C6" s="593" t="s">
        <v>35</v>
      </c>
      <c r="D6" s="596" t="s">
        <v>4</v>
      </c>
      <c r="E6" s="597"/>
      <c r="F6" s="597"/>
      <c r="G6" s="598"/>
      <c r="H6" s="593" t="s">
        <v>35</v>
      </c>
      <c r="I6" s="596" t="s">
        <v>4</v>
      </c>
      <c r="J6" s="597"/>
      <c r="K6" s="597"/>
      <c r="L6" s="598"/>
      <c r="M6" s="594"/>
    </row>
    <row r="7" spans="1:13" ht="24.95" customHeight="1">
      <c r="A7" s="594"/>
      <c r="B7" s="594"/>
      <c r="C7" s="594"/>
      <c r="D7" s="586" t="s">
        <v>6</v>
      </c>
      <c r="E7" s="587" t="s">
        <v>4</v>
      </c>
      <c r="F7" s="587"/>
      <c r="G7" s="586" t="s">
        <v>8</v>
      </c>
      <c r="H7" s="594"/>
      <c r="I7" s="586" t="s">
        <v>6</v>
      </c>
      <c r="J7" s="587" t="s">
        <v>4</v>
      </c>
      <c r="K7" s="587"/>
      <c r="L7" s="586" t="s">
        <v>8</v>
      </c>
      <c r="M7" s="594"/>
    </row>
    <row r="8" spans="1:13" ht="95.25" customHeight="1">
      <c r="A8" s="595"/>
      <c r="B8" s="595"/>
      <c r="C8" s="595"/>
      <c r="D8" s="586"/>
      <c r="E8" s="5" t="s">
        <v>10</v>
      </c>
      <c r="F8" s="5" t="s">
        <v>11</v>
      </c>
      <c r="G8" s="586"/>
      <c r="H8" s="595"/>
      <c r="I8" s="586"/>
      <c r="J8" s="5" t="s">
        <v>10</v>
      </c>
      <c r="K8" s="5" t="s">
        <v>11</v>
      </c>
      <c r="L8" s="586"/>
      <c r="M8" s="595"/>
    </row>
    <row r="9" spans="1:13" ht="27.95" customHeight="1">
      <c r="A9" s="6"/>
      <c r="B9" s="7" t="s">
        <v>35</v>
      </c>
      <c r="C9" s="8">
        <f>SUM(C10:C12)</f>
        <v>163346</v>
      </c>
      <c r="D9" s="8">
        <f>SUM(D10:D12)</f>
        <v>138921</v>
      </c>
      <c r="E9" s="8">
        <f t="shared" ref="E9:L9" si="0">SUM(E10:E12)</f>
        <v>18770</v>
      </c>
      <c r="F9" s="8">
        <f t="shared" si="0"/>
        <v>120151</v>
      </c>
      <c r="G9" s="8">
        <f>SUM(G10:G12)</f>
        <v>24425</v>
      </c>
      <c r="H9" s="8">
        <f t="shared" si="0"/>
        <v>163346</v>
      </c>
      <c r="I9" s="8">
        <f t="shared" si="0"/>
        <v>138921</v>
      </c>
      <c r="J9" s="8">
        <f t="shared" si="0"/>
        <v>18770</v>
      </c>
      <c r="K9" s="8">
        <f t="shared" si="0"/>
        <v>120151</v>
      </c>
      <c r="L9" s="8">
        <f t="shared" si="0"/>
        <v>24425</v>
      </c>
      <c r="M9" s="8"/>
    </row>
    <row r="10" spans="1:13" ht="42" customHeight="1">
      <c r="A10" s="9">
        <v>1</v>
      </c>
      <c r="B10" s="10" t="s">
        <v>28</v>
      </c>
      <c r="C10" s="11">
        <f>D10+G10</f>
        <v>68242</v>
      </c>
      <c r="D10" s="11">
        <f>SUM(E10:F10)</f>
        <v>53742</v>
      </c>
      <c r="E10" s="11"/>
      <c r="F10" s="11">
        <v>53742</v>
      </c>
      <c r="G10" s="11">
        <v>14500</v>
      </c>
      <c r="H10" s="11">
        <f>I10+L10</f>
        <v>68242</v>
      </c>
      <c r="I10" s="11">
        <f>SUM(J10:K10)</f>
        <v>53742</v>
      </c>
      <c r="J10" s="11"/>
      <c r="K10" s="11">
        <v>53742</v>
      </c>
      <c r="L10" s="11">
        <v>14500</v>
      </c>
      <c r="M10" s="12"/>
    </row>
    <row r="11" spans="1:13" ht="42" customHeight="1">
      <c r="A11" s="9">
        <v>2</v>
      </c>
      <c r="B11" s="10" t="s">
        <v>30</v>
      </c>
      <c r="C11" s="11">
        <f>D11+G11</f>
        <v>74334</v>
      </c>
      <c r="D11" s="11">
        <f>SUM(E11:F11)</f>
        <v>66409</v>
      </c>
      <c r="E11" s="11"/>
      <c r="F11" s="11">
        <v>66409</v>
      </c>
      <c r="G11" s="11">
        <v>7925</v>
      </c>
      <c r="H11" s="11">
        <f>I11+L11</f>
        <v>74334</v>
      </c>
      <c r="I11" s="11">
        <f>SUM(J11:K11)</f>
        <v>66409</v>
      </c>
      <c r="J11" s="11"/>
      <c r="K11" s="11">
        <v>66409</v>
      </c>
      <c r="L11" s="11">
        <v>7925</v>
      </c>
      <c r="M11" s="12"/>
    </row>
    <row r="12" spans="1:13" ht="42" customHeight="1">
      <c r="A12" s="13">
        <v>3</v>
      </c>
      <c r="B12" s="14" t="s">
        <v>31</v>
      </c>
      <c r="C12" s="15">
        <f>D12+G12</f>
        <v>20770</v>
      </c>
      <c r="D12" s="15">
        <f>SUM(E12:F12)</f>
        <v>18770</v>
      </c>
      <c r="E12" s="15">
        <v>18770</v>
      </c>
      <c r="F12" s="15"/>
      <c r="G12" s="15">
        <v>2000</v>
      </c>
      <c r="H12" s="15">
        <f>I12+L12</f>
        <v>20770</v>
      </c>
      <c r="I12" s="15">
        <f>SUM(J12:K12)</f>
        <v>18770</v>
      </c>
      <c r="J12" s="15">
        <v>18770</v>
      </c>
      <c r="K12" s="15"/>
      <c r="L12" s="15">
        <v>2000</v>
      </c>
      <c r="M12" s="16"/>
    </row>
    <row r="15" spans="1:13">
      <c r="C15" s="17"/>
      <c r="D15" s="17"/>
      <c r="E15" s="17"/>
    </row>
    <row r="17" spans="2:2">
      <c r="B17" s="4" t="s">
        <v>9</v>
      </c>
    </row>
    <row r="19" spans="2:2">
      <c r="B19" s="4" t="s">
        <v>9</v>
      </c>
    </row>
    <row r="22" spans="2:2">
      <c r="B22" s="4" t="s">
        <v>9</v>
      </c>
    </row>
    <row r="23" spans="2:2">
      <c r="B23" s="4" t="s">
        <v>9</v>
      </c>
    </row>
    <row r="24" spans="2:2">
      <c r="B24" s="4" t="s">
        <v>9</v>
      </c>
    </row>
  </sheetData>
  <mergeCells count="19">
    <mergeCell ref="D7:D8"/>
    <mergeCell ref="E7:F7"/>
    <mergeCell ref="G7:G8"/>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4" workbookViewId="0">
      <selection activeCell="C39" sqref="C39"/>
    </sheetView>
  </sheetViews>
  <sheetFormatPr defaultRowHeight="12.75"/>
  <cols>
    <col min="1" max="1" width="5.5" style="25" customWidth="1"/>
    <col min="2" max="2" width="36.6640625" style="25" customWidth="1"/>
    <col min="3" max="3" width="13" style="362" customWidth="1"/>
    <col min="4" max="4" width="12.33203125" style="261" customWidth="1"/>
    <col min="5" max="5" width="13.1640625" style="261" hidden="1" customWidth="1"/>
    <col min="6" max="6" width="12.5" style="261" customWidth="1"/>
    <col min="7" max="8" width="11.6640625" style="261" customWidth="1"/>
    <col min="9" max="9" width="9.6640625" style="261" customWidth="1"/>
    <col min="10" max="10" width="9.83203125" style="261" customWidth="1"/>
    <col min="11" max="11" width="9.5" style="261" customWidth="1"/>
    <col min="12" max="12" width="10.1640625" style="261" customWidth="1"/>
    <col min="13" max="13" width="8.5" style="261" customWidth="1"/>
    <col min="14" max="15" width="10.1640625" style="261" customWidth="1"/>
    <col min="16" max="16" width="9.1640625" style="261" customWidth="1"/>
    <col min="17" max="18" width="10.6640625" style="261" customWidth="1"/>
    <col min="19" max="19" width="10" style="261" customWidth="1"/>
    <col min="20" max="20" width="8.5" style="25" customWidth="1"/>
    <col min="21" max="21" width="11.33203125" style="25" bestFit="1" customWidth="1"/>
    <col min="22" max="23" width="10.5" style="25" bestFit="1" customWidth="1"/>
    <col min="24" max="16384" width="9.33203125" style="25"/>
  </cols>
  <sheetData>
    <row r="1" spans="1:23" s="217" customFormat="1" ht="17.25">
      <c r="C1" s="354"/>
      <c r="D1" s="258"/>
      <c r="E1" s="258"/>
      <c r="F1" s="258"/>
      <c r="G1" s="258"/>
      <c r="H1" s="258"/>
      <c r="I1" s="258"/>
      <c r="J1" s="258"/>
      <c r="K1" s="258"/>
      <c r="L1" s="258"/>
      <c r="M1" s="258"/>
      <c r="N1" s="258"/>
      <c r="O1" s="258"/>
      <c r="P1" s="258"/>
      <c r="Q1" s="258"/>
      <c r="R1" s="258"/>
      <c r="S1" s="600" t="s">
        <v>840</v>
      </c>
      <c r="T1" s="600"/>
    </row>
    <row r="2" spans="1:23" s="217" customFormat="1" ht="17.25" customHeight="1">
      <c r="A2" s="601" t="s">
        <v>483</v>
      </c>
      <c r="B2" s="601"/>
      <c r="C2" s="601"/>
      <c r="D2" s="601"/>
      <c r="E2" s="601"/>
      <c r="F2" s="601"/>
      <c r="G2" s="601"/>
      <c r="H2" s="601"/>
      <c r="I2" s="601"/>
      <c r="J2" s="601"/>
      <c r="K2" s="601"/>
      <c r="L2" s="601"/>
      <c r="M2" s="601"/>
      <c r="N2" s="601"/>
      <c r="O2" s="601"/>
      <c r="P2" s="601"/>
      <c r="Q2" s="601"/>
      <c r="R2" s="601"/>
      <c r="S2" s="601"/>
      <c r="T2" s="601"/>
    </row>
    <row r="3" spans="1:23" s="217" customFormat="1" ht="17.25">
      <c r="A3" s="599" t="s">
        <v>845</v>
      </c>
      <c r="B3" s="599"/>
      <c r="C3" s="599"/>
      <c r="D3" s="599"/>
      <c r="E3" s="599"/>
      <c r="F3" s="599"/>
      <c r="G3" s="599"/>
      <c r="H3" s="599"/>
      <c r="I3" s="599"/>
      <c r="J3" s="599"/>
      <c r="K3" s="599"/>
      <c r="L3" s="599"/>
      <c r="M3" s="599"/>
      <c r="N3" s="599"/>
      <c r="O3" s="599"/>
      <c r="P3" s="599"/>
      <c r="Q3" s="599"/>
      <c r="R3" s="599"/>
      <c r="S3" s="599"/>
      <c r="T3" s="599"/>
    </row>
    <row r="4" spans="1:23">
      <c r="A4" s="607" t="s">
        <v>2</v>
      </c>
      <c r="B4" s="607"/>
      <c r="C4" s="607"/>
      <c r="D4" s="607"/>
      <c r="E4" s="607"/>
      <c r="F4" s="607"/>
      <c r="G4" s="607"/>
      <c r="H4" s="607"/>
      <c r="I4" s="607"/>
      <c r="J4" s="607"/>
      <c r="K4" s="607"/>
      <c r="L4" s="607"/>
      <c r="M4" s="607"/>
      <c r="N4" s="607"/>
      <c r="O4" s="607"/>
      <c r="P4" s="607"/>
      <c r="Q4" s="607"/>
      <c r="R4" s="607"/>
      <c r="S4" s="607"/>
      <c r="T4" s="607"/>
    </row>
    <row r="5" spans="1:23" ht="19.5" customHeight="1">
      <c r="A5" s="608" t="s">
        <v>0</v>
      </c>
      <c r="B5" s="608" t="s">
        <v>475</v>
      </c>
      <c r="C5" s="613" t="s">
        <v>495</v>
      </c>
      <c r="D5" s="614"/>
      <c r="E5" s="614"/>
      <c r="F5" s="614"/>
      <c r="G5" s="614"/>
      <c r="H5" s="614"/>
      <c r="I5" s="614"/>
      <c r="J5" s="614"/>
      <c r="K5" s="614"/>
      <c r="L5" s="614"/>
      <c r="M5" s="614"/>
      <c r="N5" s="614"/>
      <c r="O5" s="614"/>
      <c r="P5" s="614"/>
      <c r="Q5" s="614"/>
      <c r="R5" s="614"/>
      <c r="S5" s="615"/>
      <c r="T5" s="609" t="s">
        <v>1</v>
      </c>
    </row>
    <row r="6" spans="1:23" ht="33" customHeight="1">
      <c r="A6" s="608"/>
      <c r="B6" s="608"/>
      <c r="C6" s="610" t="s">
        <v>476</v>
      </c>
      <c r="D6" s="611"/>
      <c r="E6" s="611"/>
      <c r="F6" s="611"/>
      <c r="G6" s="611"/>
      <c r="H6" s="611"/>
      <c r="I6" s="611"/>
      <c r="J6" s="612"/>
      <c r="K6" s="605" t="s">
        <v>838</v>
      </c>
      <c r="L6" s="605"/>
      <c r="M6" s="605"/>
      <c r="N6" s="605" t="s">
        <v>477</v>
      </c>
      <c r="O6" s="605"/>
      <c r="P6" s="605"/>
      <c r="Q6" s="606" t="s">
        <v>464</v>
      </c>
      <c r="R6" s="606"/>
      <c r="S6" s="606"/>
      <c r="T6" s="609"/>
    </row>
    <row r="7" spans="1:23" ht="24.75" customHeight="1">
      <c r="A7" s="608"/>
      <c r="B7" s="608"/>
      <c r="C7" s="602" t="s">
        <v>844</v>
      </c>
      <c r="D7" s="602" t="s">
        <v>763</v>
      </c>
      <c r="E7" s="367"/>
      <c r="F7" s="602" t="s">
        <v>762</v>
      </c>
      <c r="G7" s="605" t="s">
        <v>846</v>
      </c>
      <c r="H7" s="605"/>
      <c r="I7" s="605"/>
      <c r="J7" s="602" t="s">
        <v>494</v>
      </c>
      <c r="K7" s="605" t="s">
        <v>478</v>
      </c>
      <c r="L7" s="605" t="s">
        <v>6</v>
      </c>
      <c r="M7" s="605" t="s">
        <v>479</v>
      </c>
      <c r="N7" s="605" t="s">
        <v>478</v>
      </c>
      <c r="O7" s="605" t="s">
        <v>6</v>
      </c>
      <c r="P7" s="605" t="s">
        <v>479</v>
      </c>
      <c r="Q7" s="605" t="s">
        <v>478</v>
      </c>
      <c r="R7" s="605" t="s">
        <v>6</v>
      </c>
      <c r="S7" s="605" t="s">
        <v>479</v>
      </c>
      <c r="T7" s="609"/>
    </row>
    <row r="8" spans="1:23">
      <c r="A8" s="608"/>
      <c r="B8" s="608"/>
      <c r="C8" s="603"/>
      <c r="D8" s="603"/>
      <c r="E8" s="368"/>
      <c r="F8" s="603"/>
      <c r="G8" s="605" t="s">
        <v>35</v>
      </c>
      <c r="H8" s="602" t="s">
        <v>6</v>
      </c>
      <c r="I8" s="602" t="s">
        <v>479</v>
      </c>
      <c r="J8" s="603"/>
      <c r="K8" s="605"/>
      <c r="L8" s="605"/>
      <c r="M8" s="605"/>
      <c r="N8" s="605"/>
      <c r="O8" s="605"/>
      <c r="P8" s="605"/>
      <c r="Q8" s="605"/>
      <c r="R8" s="605"/>
      <c r="S8" s="605"/>
      <c r="T8" s="609"/>
    </row>
    <row r="9" spans="1:23">
      <c r="A9" s="608"/>
      <c r="B9" s="608"/>
      <c r="C9" s="604"/>
      <c r="D9" s="604"/>
      <c r="E9" s="369"/>
      <c r="F9" s="604"/>
      <c r="G9" s="605"/>
      <c r="H9" s="604"/>
      <c r="I9" s="604"/>
      <c r="J9" s="604"/>
      <c r="K9" s="605"/>
      <c r="L9" s="605"/>
      <c r="M9" s="605"/>
      <c r="N9" s="605"/>
      <c r="O9" s="605"/>
      <c r="P9" s="605"/>
      <c r="Q9" s="605"/>
      <c r="R9" s="605"/>
      <c r="S9" s="605"/>
      <c r="T9" s="609"/>
    </row>
    <row r="10" spans="1:23" s="353" customFormat="1" ht="15.75" customHeight="1">
      <c r="A10" s="539"/>
      <c r="B10" s="539" t="s">
        <v>7</v>
      </c>
      <c r="C10" s="355">
        <f t="shared" ref="C10:H10" si="0">C11+C25+C37</f>
        <v>256409.62303400005</v>
      </c>
      <c r="D10" s="540">
        <f t="shared" si="0"/>
        <v>192019.00000000003</v>
      </c>
      <c r="E10" s="540">
        <f t="shared" si="0"/>
        <v>12378.295770000001</v>
      </c>
      <c r="F10" s="540">
        <f t="shared" si="0"/>
        <v>64390.623034000004</v>
      </c>
      <c r="G10" s="540">
        <f t="shared" si="0"/>
        <v>36726.670461000002</v>
      </c>
      <c r="H10" s="540">
        <f t="shared" si="0"/>
        <v>35703.808461000001</v>
      </c>
      <c r="I10" s="540">
        <f t="shared" ref="I10:S10" si="1">I11+I25+I37</f>
        <v>1022.862</v>
      </c>
      <c r="J10" s="366">
        <f t="shared" ref="J10" si="2">G10/D10*100</f>
        <v>19.126581463813473</v>
      </c>
      <c r="K10" s="540">
        <f t="shared" si="1"/>
        <v>2747.6400000000003</v>
      </c>
      <c r="L10" s="540">
        <f t="shared" si="1"/>
        <v>2747.6400000000003</v>
      </c>
      <c r="M10" s="540">
        <f t="shared" si="1"/>
        <v>0</v>
      </c>
      <c r="N10" s="540">
        <f t="shared" si="1"/>
        <v>8742.619999999999</v>
      </c>
      <c r="O10" s="540">
        <f t="shared" si="1"/>
        <v>7728.7579999999998</v>
      </c>
      <c r="P10" s="540">
        <f t="shared" si="1"/>
        <v>1013.862</v>
      </c>
      <c r="Q10" s="540">
        <f>Q11+Q25+Q37</f>
        <v>25236.410460999999</v>
      </c>
      <c r="R10" s="540">
        <f t="shared" si="1"/>
        <v>25227.410460999999</v>
      </c>
      <c r="S10" s="540">
        <f t="shared" si="1"/>
        <v>9</v>
      </c>
      <c r="T10" s="541"/>
      <c r="U10" s="585">
        <f>'B3 CTMT.đầu tư'!V10+'B4 CTMT SN'!H6</f>
        <v>24025.426620999999</v>
      </c>
      <c r="V10" s="585">
        <f>'B3 CTMT.đầu tư'!W10+'B4 CTMT SN'!I6</f>
        <v>12701.233839999997</v>
      </c>
      <c r="W10" s="585">
        <f>U10+V10</f>
        <v>36726.660460999992</v>
      </c>
    </row>
    <row r="11" spans="1:23" s="538" customFormat="1" ht="14.25" customHeight="1">
      <c r="A11" s="520" t="s">
        <v>3</v>
      </c>
      <c r="B11" s="205" t="s">
        <v>457</v>
      </c>
      <c r="C11" s="356">
        <f t="shared" ref="C11:I11" si="3">SUM(C12:C24)</f>
        <v>123516.41341100002</v>
      </c>
      <c r="D11" s="356">
        <f t="shared" si="3"/>
        <v>89301.440000000002</v>
      </c>
      <c r="E11" s="356">
        <f t="shared" si="3"/>
        <v>5618.9892629999995</v>
      </c>
      <c r="F11" s="356">
        <f t="shared" si="3"/>
        <v>34214.973410999999</v>
      </c>
      <c r="G11" s="356">
        <f t="shared" si="3"/>
        <v>16551.169999999998</v>
      </c>
      <c r="H11" s="356">
        <f t="shared" si="3"/>
        <v>16551.169999999998</v>
      </c>
      <c r="I11" s="356">
        <f t="shared" si="3"/>
        <v>0</v>
      </c>
      <c r="J11" s="259">
        <f t="shared" ref="J11:J37" si="4">G11/D11*100</f>
        <v>18.534046035539848</v>
      </c>
      <c r="K11" s="356">
        <f>L11+M11</f>
        <v>0</v>
      </c>
      <c r="L11" s="356">
        <f>SUM(L12:L22)</f>
        <v>0</v>
      </c>
      <c r="M11" s="356">
        <f>SUM(M12:M24)</f>
        <v>0</v>
      </c>
      <c r="N11" s="356">
        <f>SUM(O11:P11)</f>
        <v>4329.5159999999996</v>
      </c>
      <c r="O11" s="356">
        <f>SUM(O12:O24)</f>
        <v>4329.5159999999996</v>
      </c>
      <c r="P11" s="356">
        <f>SUM(P12:P24)</f>
        <v>0</v>
      </c>
      <c r="Q11" s="356">
        <f>SUM(Q12:Q24)</f>
        <v>12221.654</v>
      </c>
      <c r="R11" s="356">
        <f>SUM(R12:R24)</f>
        <v>12221.654</v>
      </c>
      <c r="S11" s="356">
        <f t="shared" ref="S11" si="5">SUM(S12:S24)</f>
        <v>0</v>
      </c>
      <c r="T11" s="206"/>
      <c r="U11" s="537"/>
    </row>
    <row r="12" spans="1:23" s="538" customFormat="1" ht="27.75" customHeight="1">
      <c r="A12" s="207">
        <v>1</v>
      </c>
      <c r="B12" s="208" t="s">
        <v>462</v>
      </c>
      <c r="C12" s="357">
        <f>D12+F12</f>
        <v>4959.2979999999998</v>
      </c>
      <c r="D12" s="357">
        <v>4704</v>
      </c>
      <c r="E12" s="357">
        <f>'B4 CTMT SN'!F141+'B4 CTMT SN'!F142+'B4 CTMT SN'!F144+'B4 CTMT SN'!F225</f>
        <v>255.298</v>
      </c>
      <c r="F12" s="357">
        <f>E12</f>
        <v>255.298</v>
      </c>
      <c r="G12" s="357">
        <f t="shared" ref="G12:G24" si="6">H12+I12</f>
        <v>0</v>
      </c>
      <c r="H12" s="357">
        <f>L12+O12+R12</f>
        <v>0</v>
      </c>
      <c r="I12" s="357">
        <f>M12+P12+S12</f>
        <v>0</v>
      </c>
      <c r="J12" s="260">
        <f t="shared" si="4"/>
        <v>0</v>
      </c>
      <c r="K12" s="357">
        <f>L12+M12</f>
        <v>0</v>
      </c>
      <c r="L12" s="357"/>
      <c r="M12" s="357"/>
      <c r="N12" s="357">
        <f>O12+P12</f>
        <v>0</v>
      </c>
      <c r="O12" s="357"/>
      <c r="P12" s="357"/>
      <c r="Q12" s="357">
        <f>R12+S12</f>
        <v>0</v>
      </c>
      <c r="R12" s="357"/>
      <c r="S12" s="357"/>
      <c r="T12" s="210"/>
    </row>
    <row r="13" spans="1:23" s="538" customFormat="1" ht="25.5">
      <c r="A13" s="207">
        <v>2</v>
      </c>
      <c r="B13" s="208" t="s">
        <v>480</v>
      </c>
      <c r="C13" s="357">
        <f t="shared" ref="C13:C37" si="7">D13+F13</f>
        <v>3321.5860000000002</v>
      </c>
      <c r="D13" s="357">
        <v>2564</v>
      </c>
      <c r="E13" s="357">
        <f>'B4 CTMT SN'!F28+'B4 CTMT SN'!F29+'B4 CTMT SN'!F31+'B4 CTMT SN'!F226</f>
        <v>757.58600000000001</v>
      </c>
      <c r="F13" s="357">
        <f t="shared" ref="F13:F14" si="8">E13</f>
        <v>757.58600000000001</v>
      </c>
      <c r="G13" s="357">
        <f t="shared" si="6"/>
        <v>0</v>
      </c>
      <c r="H13" s="357">
        <f t="shared" ref="H13:H24" si="9">L13+O13+R13</f>
        <v>0</v>
      </c>
      <c r="I13" s="357">
        <f t="shared" ref="I13:I24" si="10">M13+P13+S13</f>
        <v>0</v>
      </c>
      <c r="J13" s="260">
        <f t="shared" si="4"/>
        <v>0</v>
      </c>
      <c r="K13" s="357">
        <f t="shared" ref="K13:K36" si="11">L13+M13</f>
        <v>0</v>
      </c>
      <c r="L13" s="357"/>
      <c r="M13" s="357"/>
      <c r="N13" s="357">
        <f t="shared" ref="N13:N36" si="12">O13+P13</f>
        <v>0</v>
      </c>
      <c r="O13" s="357"/>
      <c r="P13" s="357"/>
      <c r="Q13" s="357">
        <f t="shared" ref="Q13:Q36" si="13">R13+S13</f>
        <v>0</v>
      </c>
      <c r="R13" s="357"/>
      <c r="S13" s="357"/>
      <c r="T13" s="210"/>
    </row>
    <row r="14" spans="1:23" s="538" customFormat="1" ht="14.25" customHeight="1">
      <c r="A14" s="207">
        <v>3</v>
      </c>
      <c r="B14" s="208" t="s">
        <v>463</v>
      </c>
      <c r="C14" s="357">
        <f t="shared" si="7"/>
        <v>300</v>
      </c>
      <c r="D14" s="357">
        <v>200</v>
      </c>
      <c r="E14" s="357">
        <f>'B4 CTMT SN'!F143</f>
        <v>100</v>
      </c>
      <c r="F14" s="357">
        <f t="shared" si="8"/>
        <v>100</v>
      </c>
      <c r="G14" s="357">
        <f t="shared" si="6"/>
        <v>0</v>
      </c>
      <c r="H14" s="357">
        <f t="shared" si="9"/>
        <v>0</v>
      </c>
      <c r="I14" s="357">
        <f t="shared" si="10"/>
        <v>0</v>
      </c>
      <c r="J14" s="260">
        <f t="shared" si="4"/>
        <v>0</v>
      </c>
      <c r="K14" s="357">
        <f t="shared" si="11"/>
        <v>0</v>
      </c>
      <c r="L14" s="357"/>
      <c r="M14" s="357"/>
      <c r="N14" s="357">
        <f t="shared" si="12"/>
        <v>0</v>
      </c>
      <c r="O14" s="357"/>
      <c r="P14" s="357"/>
      <c r="Q14" s="357">
        <f t="shared" si="13"/>
        <v>0</v>
      </c>
      <c r="R14" s="357"/>
      <c r="S14" s="357"/>
      <c r="T14" s="210"/>
    </row>
    <row r="15" spans="1:23" s="542" customFormat="1" ht="28.5" customHeight="1">
      <c r="A15" s="262">
        <v>4</v>
      </c>
      <c r="B15" s="263" t="s">
        <v>67</v>
      </c>
      <c r="C15" s="357">
        <f t="shared" si="7"/>
        <v>92949.044200000004</v>
      </c>
      <c r="D15" s="358">
        <v>65802.44</v>
      </c>
      <c r="E15" s="358"/>
      <c r="F15" s="358">
        <f>'B3 CTMT.đầu tư'!T132+'B3 CTMT.đầu tư'!T135+'B3 CTMT.đầu tư'!T149+'B3 CTMT.đầu tư'!T175</f>
        <v>27146.604199999998</v>
      </c>
      <c r="G15" s="358">
        <f t="shared" si="6"/>
        <v>14789.474</v>
      </c>
      <c r="H15" s="358">
        <f>L15+O15+R15</f>
        <v>14789.474</v>
      </c>
      <c r="I15" s="358">
        <f t="shared" si="10"/>
        <v>0</v>
      </c>
      <c r="J15" s="265">
        <f>G15/D15*100</f>
        <v>22.475570814699271</v>
      </c>
      <c r="K15" s="358">
        <f t="shared" si="11"/>
        <v>0</v>
      </c>
      <c r="L15" s="358"/>
      <c r="M15" s="358"/>
      <c r="N15" s="358">
        <f t="shared" si="12"/>
        <v>4329.5159999999996</v>
      </c>
      <c r="O15" s="358">
        <f>('B3 CTMT.đầu tư'!U41+'B3 CTMT.đầu tư'!U43)+('B3 CTMT.đầu tư'!U176+'B3 CTMT.đầu tư'!U177+'B3 CTMT.đầu tư'!W178+'B3 CTMT.đầu tư'!U179+'B3 CTMT.đầu tư'!U181+'B3 CTMT.đầu tư'!W182+'B3 CTMT.đầu tư'!U184+'B3 CTMT.đầu tư'!U186+'B3 CTMT.đầu tư'!U187+'B3 CTMT.đầu tư'!U189+'B3 CTMT.đầu tư'!U191)</f>
        <v>4329.5159999999996</v>
      </c>
      <c r="P15" s="358"/>
      <c r="Q15" s="358">
        <f>R15+S15</f>
        <v>10459.958000000001</v>
      </c>
      <c r="R15" s="358">
        <f>('B3 CTMT.đầu tư'!U85+'B3 CTMT.đầu tư'!U86+'B3 CTMT.đầu tư'!U88+'B3 CTMT.đầu tư'!U89+'B3 CTMT.đầu tư'!U105)+('B3 CTMT.đầu tư'!U134+'B3 CTMT.đầu tư'!U153+'B3 CTMT.đầu tư'!U159)</f>
        <v>10459.958000000001</v>
      </c>
      <c r="S15" s="358"/>
      <c r="T15" s="266"/>
    </row>
    <row r="16" spans="1:23" s="538" customFormat="1">
      <c r="A16" s="207">
        <v>5</v>
      </c>
      <c r="B16" s="208" t="s">
        <v>68</v>
      </c>
      <c r="C16" s="357">
        <f t="shared" si="7"/>
        <v>5845.7342630000003</v>
      </c>
      <c r="D16" s="357">
        <v>5246</v>
      </c>
      <c r="E16" s="357">
        <f>'B4 CTMT SN'!F192+'B4 CTMT SN'!F227+'B4 CTMT SN'!F228+'B4 CTMT SN'!F234+'B4 CTMT SN'!F235</f>
        <v>599.73426299999994</v>
      </c>
      <c r="F16" s="357">
        <f>E16</f>
        <v>599.73426299999994</v>
      </c>
      <c r="G16" s="357">
        <f t="shared" si="6"/>
        <v>0</v>
      </c>
      <c r="H16" s="357">
        <f t="shared" si="9"/>
        <v>0</v>
      </c>
      <c r="I16" s="357">
        <f t="shared" si="10"/>
        <v>0</v>
      </c>
      <c r="J16" s="260">
        <f t="shared" si="4"/>
        <v>0</v>
      </c>
      <c r="K16" s="357">
        <f t="shared" si="11"/>
        <v>0</v>
      </c>
      <c r="L16" s="357"/>
      <c r="M16" s="357"/>
      <c r="N16" s="357">
        <f t="shared" si="12"/>
        <v>0</v>
      </c>
      <c r="O16" s="357"/>
      <c r="P16" s="357"/>
      <c r="Q16" s="357">
        <f t="shared" si="13"/>
        <v>0</v>
      </c>
      <c r="R16" s="357"/>
      <c r="S16" s="357"/>
      <c r="T16" s="210"/>
    </row>
    <row r="17" spans="1:20" s="538" customFormat="1">
      <c r="A17" s="207">
        <v>6</v>
      </c>
      <c r="B17" s="208" t="s">
        <v>466</v>
      </c>
      <c r="C17" s="357">
        <f t="shared" si="7"/>
        <v>566</v>
      </c>
      <c r="D17" s="357">
        <v>413</v>
      </c>
      <c r="E17" s="357">
        <f>'B4 CTMT SN'!F229</f>
        <v>153</v>
      </c>
      <c r="F17" s="357">
        <f t="shared" ref="F17:F21" si="14">E17</f>
        <v>153</v>
      </c>
      <c r="G17" s="357">
        <f t="shared" si="6"/>
        <v>0</v>
      </c>
      <c r="H17" s="357">
        <f t="shared" si="9"/>
        <v>0</v>
      </c>
      <c r="I17" s="357">
        <f t="shared" si="10"/>
        <v>0</v>
      </c>
      <c r="J17" s="260">
        <f t="shared" si="4"/>
        <v>0</v>
      </c>
      <c r="K17" s="357">
        <f t="shared" si="11"/>
        <v>0</v>
      </c>
      <c r="L17" s="357"/>
      <c r="M17" s="357"/>
      <c r="N17" s="357">
        <f t="shared" si="12"/>
        <v>0</v>
      </c>
      <c r="O17" s="357"/>
      <c r="P17" s="357"/>
      <c r="Q17" s="357">
        <f t="shared" si="13"/>
        <v>0</v>
      </c>
      <c r="R17" s="357"/>
      <c r="S17" s="357"/>
      <c r="T17" s="210"/>
    </row>
    <row r="18" spans="1:20" s="538" customFormat="1">
      <c r="A18" s="207">
        <v>7</v>
      </c>
      <c r="B18" s="208" t="s">
        <v>69</v>
      </c>
      <c r="C18" s="357">
        <f t="shared" si="7"/>
        <v>1341.521</v>
      </c>
      <c r="D18" s="357">
        <v>1280</v>
      </c>
      <c r="E18" s="357">
        <f>'B4 CTMT SN'!F232</f>
        <v>61.521000000000015</v>
      </c>
      <c r="F18" s="357">
        <f t="shared" si="14"/>
        <v>61.521000000000015</v>
      </c>
      <c r="G18" s="357">
        <f t="shared" si="6"/>
        <v>0</v>
      </c>
      <c r="H18" s="357">
        <f t="shared" si="9"/>
        <v>0</v>
      </c>
      <c r="I18" s="357">
        <f t="shared" si="10"/>
        <v>0</v>
      </c>
      <c r="J18" s="260">
        <f t="shared" si="4"/>
        <v>0</v>
      </c>
      <c r="K18" s="357">
        <f t="shared" si="11"/>
        <v>0</v>
      </c>
      <c r="L18" s="357"/>
      <c r="M18" s="357"/>
      <c r="N18" s="357">
        <f t="shared" si="12"/>
        <v>0</v>
      </c>
      <c r="O18" s="357"/>
      <c r="P18" s="357"/>
      <c r="Q18" s="357">
        <f t="shared" si="13"/>
        <v>0</v>
      </c>
      <c r="R18" s="357"/>
      <c r="S18" s="357"/>
      <c r="T18" s="210"/>
    </row>
    <row r="19" spans="1:20" s="538" customFormat="1">
      <c r="A19" s="207">
        <v>8</v>
      </c>
      <c r="B19" s="208" t="s">
        <v>70</v>
      </c>
      <c r="C19" s="357">
        <f t="shared" si="7"/>
        <v>323</v>
      </c>
      <c r="D19" s="357">
        <v>323</v>
      </c>
      <c r="E19" s="357"/>
      <c r="F19" s="357">
        <f t="shared" si="14"/>
        <v>0</v>
      </c>
      <c r="G19" s="357">
        <f t="shared" si="6"/>
        <v>0</v>
      </c>
      <c r="H19" s="357">
        <f t="shared" si="9"/>
        <v>0</v>
      </c>
      <c r="I19" s="357">
        <f t="shared" si="10"/>
        <v>0</v>
      </c>
      <c r="J19" s="260">
        <f t="shared" si="4"/>
        <v>0</v>
      </c>
      <c r="K19" s="357">
        <f t="shared" si="11"/>
        <v>0</v>
      </c>
      <c r="L19" s="357"/>
      <c r="M19" s="357"/>
      <c r="N19" s="357">
        <f t="shared" si="12"/>
        <v>0</v>
      </c>
      <c r="O19" s="357"/>
      <c r="P19" s="357"/>
      <c r="Q19" s="357">
        <f t="shared" si="13"/>
        <v>0</v>
      </c>
      <c r="R19" s="357"/>
      <c r="S19" s="357"/>
      <c r="T19" s="210"/>
    </row>
    <row r="20" spans="1:20" s="538" customFormat="1" ht="25.5">
      <c r="A20" s="207">
        <v>9</v>
      </c>
      <c r="B20" s="211" t="s">
        <v>444</v>
      </c>
      <c r="C20" s="357">
        <f t="shared" si="7"/>
        <v>1048</v>
      </c>
      <c r="D20" s="357">
        <v>67</v>
      </c>
      <c r="E20" s="357">
        <f>'B4 CTMT SN'!F24</f>
        <v>981</v>
      </c>
      <c r="F20" s="357">
        <f t="shared" si="14"/>
        <v>981</v>
      </c>
      <c r="G20" s="357">
        <f t="shared" si="6"/>
        <v>0</v>
      </c>
      <c r="H20" s="357">
        <f t="shared" si="9"/>
        <v>0</v>
      </c>
      <c r="I20" s="357">
        <f t="shared" si="10"/>
        <v>0</v>
      </c>
      <c r="J20" s="260">
        <f t="shared" si="4"/>
        <v>0</v>
      </c>
      <c r="K20" s="357">
        <f t="shared" si="11"/>
        <v>0</v>
      </c>
      <c r="L20" s="357"/>
      <c r="M20" s="357"/>
      <c r="N20" s="357">
        <f t="shared" si="12"/>
        <v>0</v>
      </c>
      <c r="O20" s="357"/>
      <c r="P20" s="357"/>
      <c r="Q20" s="357">
        <f t="shared" si="13"/>
        <v>0</v>
      </c>
      <c r="R20" s="357"/>
      <c r="S20" s="357"/>
      <c r="T20" s="210"/>
    </row>
    <row r="21" spans="1:20" s="538" customFormat="1">
      <c r="A21" s="207">
        <v>10</v>
      </c>
      <c r="B21" s="212" t="s">
        <v>40</v>
      </c>
      <c r="C21" s="357">
        <f t="shared" si="7"/>
        <v>5729.85</v>
      </c>
      <c r="D21" s="357">
        <v>3061</v>
      </c>
      <c r="E21" s="357">
        <f>'B4 CTMT SN'!F27+'B4 CTMT SN'!F230</f>
        <v>2668.85</v>
      </c>
      <c r="F21" s="357">
        <f t="shared" si="14"/>
        <v>2668.85</v>
      </c>
      <c r="G21" s="357">
        <f t="shared" si="6"/>
        <v>0</v>
      </c>
      <c r="H21" s="357">
        <f t="shared" si="9"/>
        <v>0</v>
      </c>
      <c r="I21" s="357">
        <f t="shared" si="10"/>
        <v>0</v>
      </c>
      <c r="J21" s="260">
        <f t="shared" si="4"/>
        <v>0</v>
      </c>
      <c r="K21" s="357">
        <f t="shared" si="11"/>
        <v>0</v>
      </c>
      <c r="L21" s="357"/>
      <c r="M21" s="357"/>
      <c r="N21" s="357">
        <f t="shared" si="12"/>
        <v>0</v>
      </c>
      <c r="O21" s="357"/>
      <c r="P21" s="357"/>
      <c r="Q21" s="357">
        <f t="shared" si="13"/>
        <v>0</v>
      </c>
      <c r="R21" s="357"/>
      <c r="S21" s="357"/>
      <c r="T21" s="210"/>
    </row>
    <row r="22" spans="1:20" s="538" customFormat="1" ht="25.5">
      <c r="A22" s="207">
        <v>11</v>
      </c>
      <c r="B22" s="213" t="s">
        <v>453</v>
      </c>
      <c r="C22" s="357">
        <f t="shared" si="7"/>
        <v>5378.3799479999998</v>
      </c>
      <c r="D22" s="357">
        <v>3887</v>
      </c>
      <c r="E22" s="357">
        <f>'B4 CTMT SN'!F236</f>
        <v>42</v>
      </c>
      <c r="F22" s="357">
        <f>E22+('B3 CTMT.đầu tư'!T161+'B3 CTMT.đầu tư'!T171)</f>
        <v>1491.3799480000002</v>
      </c>
      <c r="G22" s="357">
        <f>H22+I22</f>
        <v>1761.6959999999999</v>
      </c>
      <c r="H22" s="357">
        <f>L22+O22+R22</f>
        <v>1761.6959999999999</v>
      </c>
      <c r="I22" s="357">
        <f t="shared" si="10"/>
        <v>0</v>
      </c>
      <c r="J22" s="260">
        <f t="shared" si="4"/>
        <v>45.322768201697968</v>
      </c>
      <c r="K22" s="357">
        <f t="shared" si="11"/>
        <v>0</v>
      </c>
      <c r="L22" s="357"/>
      <c r="M22" s="357"/>
      <c r="N22" s="357">
        <f t="shared" si="12"/>
        <v>0</v>
      </c>
      <c r="O22" s="357"/>
      <c r="P22" s="357"/>
      <c r="Q22" s="357">
        <f t="shared" si="13"/>
        <v>1761.6959999999999</v>
      </c>
      <c r="R22" s="357">
        <f>'B3 CTMT.đầu tư'!U118+'B3 CTMT.đầu tư'!U121+'B3 CTMT.đầu tư'!U161</f>
        <v>1761.6959999999999</v>
      </c>
      <c r="S22" s="357"/>
      <c r="T22" s="209"/>
    </row>
    <row r="23" spans="1:20" s="538" customFormat="1">
      <c r="A23" s="207">
        <v>12</v>
      </c>
      <c r="B23" s="213" t="s">
        <v>435</v>
      </c>
      <c r="C23" s="357">
        <f t="shared" si="7"/>
        <v>50</v>
      </c>
      <c r="D23" s="357">
        <v>50</v>
      </c>
      <c r="E23" s="357"/>
      <c r="F23" s="357"/>
      <c r="G23" s="357">
        <f t="shared" si="6"/>
        <v>0</v>
      </c>
      <c r="H23" s="357">
        <f t="shared" si="9"/>
        <v>0</v>
      </c>
      <c r="I23" s="357">
        <f t="shared" si="10"/>
        <v>0</v>
      </c>
      <c r="J23" s="260">
        <f t="shared" si="4"/>
        <v>0</v>
      </c>
      <c r="K23" s="357">
        <f t="shared" si="11"/>
        <v>0</v>
      </c>
      <c r="L23" s="357"/>
      <c r="M23" s="357"/>
      <c r="N23" s="357">
        <f t="shared" si="12"/>
        <v>0</v>
      </c>
      <c r="O23" s="357"/>
      <c r="P23" s="357"/>
      <c r="Q23" s="357">
        <f t="shared" si="13"/>
        <v>0</v>
      </c>
      <c r="R23" s="357"/>
      <c r="S23" s="357"/>
      <c r="T23" s="209"/>
    </row>
    <row r="24" spans="1:20" s="538" customFormat="1" ht="17.25" customHeight="1">
      <c r="A24" s="207">
        <v>13</v>
      </c>
      <c r="B24" s="213" t="s">
        <v>837</v>
      </c>
      <c r="C24" s="357">
        <f t="shared" si="7"/>
        <v>1704</v>
      </c>
      <c r="D24" s="357">
        <v>1704</v>
      </c>
      <c r="E24" s="357"/>
      <c r="F24" s="357"/>
      <c r="G24" s="357">
        <f t="shared" si="6"/>
        <v>0</v>
      </c>
      <c r="H24" s="357">
        <f t="shared" si="9"/>
        <v>0</v>
      </c>
      <c r="I24" s="357">
        <f t="shared" si="10"/>
        <v>0</v>
      </c>
      <c r="J24" s="260">
        <f t="shared" si="4"/>
        <v>0</v>
      </c>
      <c r="K24" s="357">
        <f t="shared" si="11"/>
        <v>0</v>
      </c>
      <c r="L24" s="357"/>
      <c r="M24" s="357"/>
      <c r="N24" s="357">
        <f t="shared" si="12"/>
        <v>0</v>
      </c>
      <c r="O24" s="357"/>
      <c r="P24" s="357"/>
      <c r="Q24" s="357">
        <f t="shared" si="13"/>
        <v>0</v>
      </c>
      <c r="R24" s="357"/>
      <c r="S24" s="357"/>
      <c r="T24" s="209"/>
    </row>
    <row r="25" spans="1:20" s="353" customFormat="1">
      <c r="A25" s="520" t="s">
        <v>5</v>
      </c>
      <c r="B25" s="205" t="s">
        <v>458</v>
      </c>
      <c r="C25" s="356">
        <f t="shared" si="7"/>
        <v>127405.00962300002</v>
      </c>
      <c r="D25" s="356">
        <f>SUM(D26:D36)</f>
        <v>97229.360000000015</v>
      </c>
      <c r="E25" s="356">
        <f>SUM(E26:E36)</f>
        <v>6759.3065070000002</v>
      </c>
      <c r="F25" s="356">
        <f>SUM(F26:F36)</f>
        <v>30175.649623000001</v>
      </c>
      <c r="G25" s="356">
        <f>SUM(G26:G36)</f>
        <v>20175.500461000003</v>
      </c>
      <c r="H25" s="356">
        <f>SUM(H26:H36)</f>
        <v>19152.638461000002</v>
      </c>
      <c r="I25" s="356">
        <f t="shared" ref="I25:S25" si="15">SUM(I26:I36)</f>
        <v>1022.862</v>
      </c>
      <c r="J25" s="259">
        <f t="shared" si="4"/>
        <v>20.750419894772527</v>
      </c>
      <c r="K25" s="356">
        <f t="shared" si="15"/>
        <v>2747.6400000000003</v>
      </c>
      <c r="L25" s="356">
        <f t="shared" si="15"/>
        <v>2747.6400000000003</v>
      </c>
      <c r="M25" s="356">
        <f t="shared" si="15"/>
        <v>0</v>
      </c>
      <c r="N25" s="356">
        <f t="shared" si="15"/>
        <v>4413.1039999999994</v>
      </c>
      <c r="O25" s="356">
        <f t="shared" si="15"/>
        <v>3399.2420000000002</v>
      </c>
      <c r="P25" s="356">
        <f t="shared" si="15"/>
        <v>1013.862</v>
      </c>
      <c r="Q25" s="356">
        <f t="shared" si="15"/>
        <v>13014.756461000001</v>
      </c>
      <c r="R25" s="356">
        <f t="shared" si="15"/>
        <v>13005.756461000001</v>
      </c>
      <c r="S25" s="356">
        <f t="shared" si="15"/>
        <v>9</v>
      </c>
      <c r="T25" s="204"/>
    </row>
    <row r="26" spans="1:20" s="538" customFormat="1">
      <c r="A26" s="207">
        <v>1</v>
      </c>
      <c r="B26" s="214" t="s">
        <v>62</v>
      </c>
      <c r="C26" s="357">
        <f t="shared" si="7"/>
        <v>11366.938239999999</v>
      </c>
      <c r="D26" s="357">
        <v>9694.23</v>
      </c>
      <c r="E26" s="357">
        <f>'B4 CTMT SN'!F10+'B4 CTMT SN'!F21+'B4 CTMT SN'!F33+'B4 CTMT SN'!F145+'B4 CTMT SN'!F195+'B4 CTMT SN'!F206+'B4 CTMT SN'!F219</f>
        <v>622.09123999999997</v>
      </c>
      <c r="F26" s="358">
        <f>E26+('B3 CTMT.đầu tư'!T146+'B3 CTMT.đầu tư'!T192+'B3 CTMT.đầu tư'!T193+'B3 CTMT.đầu tư'!T194+'B3 CTMT.đầu tư'!T217+'B3 CTMT.đầu tư'!T218)</f>
        <v>1672.7082400000002</v>
      </c>
      <c r="G26" s="357">
        <f t="shared" ref="G26:G36" si="16">H26+I26</f>
        <v>2506.59</v>
      </c>
      <c r="H26" s="357">
        <f t="shared" ref="H26" si="17">L26+O26+R26</f>
        <v>2506.59</v>
      </c>
      <c r="I26" s="357">
        <f t="shared" ref="I26" si="18">M26+P26+S26</f>
        <v>0</v>
      </c>
      <c r="J26" s="260">
        <f t="shared" si="4"/>
        <v>25.856514648404261</v>
      </c>
      <c r="K26" s="357">
        <f t="shared" si="11"/>
        <v>0</v>
      </c>
      <c r="L26" s="360"/>
      <c r="M26" s="357"/>
      <c r="N26" s="357">
        <f t="shared" si="12"/>
        <v>0</v>
      </c>
      <c r="O26" s="357"/>
      <c r="P26" s="357"/>
      <c r="Q26" s="357">
        <f t="shared" si="13"/>
        <v>2506.59</v>
      </c>
      <c r="R26" s="357">
        <f>'B3 CTMT.đầu tư'!U100</f>
        <v>2506.59</v>
      </c>
      <c r="S26" s="357"/>
      <c r="T26" s="209"/>
    </row>
    <row r="27" spans="1:20" s="538" customFormat="1">
      <c r="A27" s="207">
        <v>2</v>
      </c>
      <c r="B27" s="214" t="s">
        <v>51</v>
      </c>
      <c r="C27" s="357">
        <f t="shared" si="7"/>
        <v>10069.847433000001</v>
      </c>
      <c r="D27" s="357">
        <v>9360.36</v>
      </c>
      <c r="E27" s="357">
        <f>'B4 CTMT SN'!F17+'B4 CTMT SN'!F196+'B4 CTMT SN'!F207</f>
        <v>629.62625000000003</v>
      </c>
      <c r="F27" s="358">
        <f>E27+('B3 CTMT.đầu tư'!T143+'B3 CTMT.đầu tư'!T195+'B3 CTMT.đầu tư'!T196+'B3 CTMT.đầu tư'!T197+'B3 CTMT.đầu tư'!T219+'B3 CTMT.đầu tư'!T220+'B3 CTMT.đầu tư'!T221)</f>
        <v>709.48743300000001</v>
      </c>
      <c r="G27" s="357">
        <f>H27+I27</f>
        <v>5001.6040000000003</v>
      </c>
      <c r="H27" s="357">
        <f t="shared" ref="H27:H36" si="19">L27+O27+R27</f>
        <v>3987.7420000000002</v>
      </c>
      <c r="I27" s="357">
        <f t="shared" ref="I27:I36" si="20">M27+P27+S27</f>
        <v>1013.862</v>
      </c>
      <c r="J27" s="260">
        <f t="shared" si="4"/>
        <v>53.433885021516268</v>
      </c>
      <c r="K27" s="357">
        <f t="shared" si="11"/>
        <v>0</v>
      </c>
      <c r="L27" s="360"/>
      <c r="M27" s="357"/>
      <c r="N27" s="357">
        <f t="shared" si="12"/>
        <v>2513.1039999999998</v>
      </c>
      <c r="O27" s="357">
        <f>'B3 CTMT.đầu tư'!U50</f>
        <v>1499.242</v>
      </c>
      <c r="P27" s="357">
        <f>'B4 CTMT SN'!H39</f>
        <v>1013.862</v>
      </c>
      <c r="Q27" s="357">
        <f t="shared" si="13"/>
        <v>2488.5</v>
      </c>
      <c r="R27" s="357">
        <f>'B3 CTMT.đầu tư'!U96</f>
        <v>2488.5</v>
      </c>
      <c r="S27" s="357"/>
      <c r="T27" s="215"/>
    </row>
    <row r="28" spans="1:20" s="538" customFormat="1">
      <c r="A28" s="207">
        <v>3</v>
      </c>
      <c r="B28" s="214" t="s">
        <v>42</v>
      </c>
      <c r="C28" s="357">
        <f t="shared" si="7"/>
        <v>9122.0826269999998</v>
      </c>
      <c r="D28" s="357">
        <v>7523.3</v>
      </c>
      <c r="E28" s="357">
        <f>'B4 CTMT SN'!F13+'B4 CTMT SN'!F197+'B4 CTMT SN'!F208+'B4 CTMT SN'!F220</f>
        <v>606.73412700000006</v>
      </c>
      <c r="F28" s="358">
        <f>E28+('B3 CTMT.đầu tư'!T139+'B3 CTMT.đầu tư'!T198+'B3 CTMT.đầu tư'!T222+'B3 CTMT.đầu tư'!T223)</f>
        <v>1598.782627</v>
      </c>
      <c r="G28" s="357">
        <f t="shared" si="16"/>
        <v>1028.4570000000001</v>
      </c>
      <c r="H28" s="357">
        <f t="shared" si="19"/>
        <v>1028.4570000000001</v>
      </c>
      <c r="I28" s="357">
        <f t="shared" si="20"/>
        <v>0</v>
      </c>
      <c r="J28" s="260">
        <f t="shared" si="4"/>
        <v>13.670290962742415</v>
      </c>
      <c r="K28" s="357">
        <f t="shared" si="11"/>
        <v>0</v>
      </c>
      <c r="L28" s="360"/>
      <c r="M28" s="357"/>
      <c r="N28" s="357">
        <f t="shared" si="12"/>
        <v>0</v>
      </c>
      <c r="O28" s="357"/>
      <c r="P28" s="357"/>
      <c r="Q28" s="357">
        <f>R28+S28</f>
        <v>1028.4570000000001</v>
      </c>
      <c r="R28" s="357">
        <f>'B3 CTMT.đầu tư'!U92</f>
        <v>1028.4570000000001</v>
      </c>
      <c r="S28" s="357"/>
      <c r="T28" s="215"/>
    </row>
    <row r="29" spans="1:20" s="538" customFormat="1">
      <c r="A29" s="207">
        <v>4</v>
      </c>
      <c r="B29" s="214" t="s">
        <v>63</v>
      </c>
      <c r="C29" s="357">
        <f t="shared" si="7"/>
        <v>16689.2232</v>
      </c>
      <c r="D29" s="357">
        <v>13839.25</v>
      </c>
      <c r="E29" s="357">
        <f>'B4 CTMT SN'!F11+'B4 CTMT SN'!F14+'B4 CTMT SN'!F198+'B4 CTMT SN'!F209</f>
        <v>463.9042</v>
      </c>
      <c r="F29" s="358">
        <f>E29+('B3 CTMT.đầu tư'!T140+'B3 CTMT.đầu tư'!T199+'B3 CTMT.đầu tư'!T200+'B3 CTMT.đầu tư'!T201)</f>
        <v>2849.9731999999999</v>
      </c>
      <c r="G29" s="357">
        <f t="shared" si="16"/>
        <v>1300</v>
      </c>
      <c r="H29" s="357">
        <f t="shared" si="19"/>
        <v>1300</v>
      </c>
      <c r="I29" s="357">
        <f t="shared" si="20"/>
        <v>0</v>
      </c>
      <c r="J29" s="260">
        <f t="shared" si="4"/>
        <v>9.3935726285745265</v>
      </c>
      <c r="K29" s="357">
        <f t="shared" si="11"/>
        <v>0</v>
      </c>
      <c r="L29" s="360"/>
      <c r="M29" s="357"/>
      <c r="N29" s="357">
        <f t="shared" si="12"/>
        <v>1300</v>
      </c>
      <c r="O29" s="357">
        <f>'B3 CTMT.đầu tư'!U200+'B3 CTMT.đầu tư'!U201</f>
        <v>1300</v>
      </c>
      <c r="P29" s="357"/>
      <c r="Q29" s="357">
        <f t="shared" si="13"/>
        <v>0</v>
      </c>
      <c r="R29" s="357"/>
      <c r="S29" s="357"/>
      <c r="T29" s="215"/>
    </row>
    <row r="30" spans="1:20" s="538" customFormat="1">
      <c r="A30" s="207">
        <v>5</v>
      </c>
      <c r="B30" s="214" t="s">
        <v>52</v>
      </c>
      <c r="C30" s="357">
        <f t="shared" si="7"/>
        <v>10582.004202</v>
      </c>
      <c r="D30" s="357">
        <v>6216.58</v>
      </c>
      <c r="E30" s="357">
        <f>'B4 CTMT SN'!F16+'B4 CTMT SN'!F199+'B4 CTMT SN'!F210</f>
        <v>498.76400000000001</v>
      </c>
      <c r="F30" s="358">
        <f>E30+('B3 CTMT.đầu tư'!T142+'B3 CTMT.đầu tư'!T202+'B3 CTMT.đầu tư'!T203+'B3 CTMT.đầu tư'!T224+'B3 CTMT.đầu tư'!T225)</f>
        <v>4365.4242020000002</v>
      </c>
      <c r="G30" s="357">
        <f t="shared" si="16"/>
        <v>2306</v>
      </c>
      <c r="H30" s="357">
        <f t="shared" si="19"/>
        <v>2306</v>
      </c>
      <c r="I30" s="357">
        <f t="shared" si="20"/>
        <v>0</v>
      </c>
      <c r="J30" s="260">
        <f t="shared" si="4"/>
        <v>37.09435091320308</v>
      </c>
      <c r="K30" s="357">
        <f t="shared" si="11"/>
        <v>1706</v>
      </c>
      <c r="L30" s="360">
        <f>'B3 CTMT.đầu tư'!U224+'B3 CTMT.đầu tư'!U225</f>
        <v>1706</v>
      </c>
      <c r="M30" s="357"/>
      <c r="N30" s="357">
        <f t="shared" si="12"/>
        <v>600</v>
      </c>
      <c r="O30" s="357">
        <f>'B3 CTMT.đầu tư'!U202</f>
        <v>600</v>
      </c>
      <c r="P30" s="357"/>
      <c r="Q30" s="357">
        <f t="shared" si="13"/>
        <v>0</v>
      </c>
      <c r="R30" s="357"/>
      <c r="S30" s="357"/>
      <c r="T30" s="215"/>
    </row>
    <row r="31" spans="1:20" s="538" customFormat="1">
      <c r="A31" s="207">
        <v>6</v>
      </c>
      <c r="B31" s="214" t="s">
        <v>45</v>
      </c>
      <c r="C31" s="357">
        <f t="shared" si="7"/>
        <v>10650.775</v>
      </c>
      <c r="D31" s="357">
        <v>7149.33</v>
      </c>
      <c r="E31" s="357">
        <f>'B4 CTMT SN'!F18+'B4 CTMT SN'!F200+'B4 CTMT SN'!F211</f>
        <v>595.44499999999994</v>
      </c>
      <c r="F31" s="358">
        <f>E31+('B3 CTMT.đầu tư'!T204+'B3 CTMT.đầu tư'!T205+'B3 CTMT.đầu tư'!T226+'B3 CTMT.đầu tư'!T227)</f>
        <v>3501.4449999999997</v>
      </c>
      <c r="G31" s="357">
        <f t="shared" si="16"/>
        <v>2399.745621</v>
      </c>
      <c r="H31" s="357">
        <f t="shared" si="19"/>
        <v>2399.745621</v>
      </c>
      <c r="I31" s="357">
        <f t="shared" si="20"/>
        <v>0</v>
      </c>
      <c r="J31" s="260">
        <f t="shared" si="4"/>
        <v>33.566021165619716</v>
      </c>
      <c r="K31" s="357">
        <f t="shared" si="11"/>
        <v>0</v>
      </c>
      <c r="L31" s="360"/>
      <c r="M31" s="357"/>
      <c r="N31" s="357">
        <f t="shared" si="12"/>
        <v>0</v>
      </c>
      <c r="O31" s="357"/>
      <c r="P31" s="357"/>
      <c r="Q31" s="357">
        <f t="shared" si="13"/>
        <v>2399.745621</v>
      </c>
      <c r="R31" s="357">
        <f>'B3 CTMT.đầu tư'!U97</f>
        <v>2399.745621</v>
      </c>
      <c r="S31" s="357"/>
      <c r="T31" s="215"/>
    </row>
    <row r="32" spans="1:20" s="538" customFormat="1">
      <c r="A32" s="207">
        <v>7</v>
      </c>
      <c r="B32" s="214" t="s">
        <v>46</v>
      </c>
      <c r="C32" s="357">
        <f t="shared" si="7"/>
        <v>16987.469510999999</v>
      </c>
      <c r="D32" s="357">
        <v>13354.33</v>
      </c>
      <c r="E32" s="357">
        <f>'B4 CTMT SN'!F19+'B4 CTMT SN'!F146+'B4 CTMT SN'!F201+'B4 CTMT SN'!F212+'B4 CTMT SN'!F221</f>
        <v>955.94600000000014</v>
      </c>
      <c r="F32" s="358">
        <f>E32+('B3 CTMT.đầu tư'!T144+'B3 CTMT.đầu tư'!T206+'B3 CTMT.đầu tư'!T207+'B3 CTMT.đầu tư'!T228+'B3 CTMT.đầu tư'!T229)</f>
        <v>3633.1395110000003</v>
      </c>
      <c r="G32" s="357">
        <f t="shared" si="16"/>
        <v>0</v>
      </c>
      <c r="H32" s="357">
        <f t="shared" si="19"/>
        <v>0</v>
      </c>
      <c r="I32" s="357">
        <f t="shared" si="20"/>
        <v>0</v>
      </c>
      <c r="J32" s="260">
        <f t="shared" si="4"/>
        <v>0</v>
      </c>
      <c r="K32" s="357">
        <f t="shared" si="11"/>
        <v>0</v>
      </c>
      <c r="L32" s="360"/>
      <c r="M32" s="357"/>
      <c r="N32" s="357">
        <f t="shared" si="12"/>
        <v>0</v>
      </c>
      <c r="O32" s="357"/>
      <c r="P32" s="357"/>
      <c r="Q32" s="357">
        <f t="shared" si="13"/>
        <v>0</v>
      </c>
      <c r="R32" s="357"/>
      <c r="S32" s="357"/>
      <c r="T32" s="215"/>
    </row>
    <row r="33" spans="1:20" s="538" customFormat="1">
      <c r="A33" s="207">
        <v>8</v>
      </c>
      <c r="B33" s="214" t="s">
        <v>64</v>
      </c>
      <c r="C33" s="357">
        <f t="shared" si="7"/>
        <v>11568.32683</v>
      </c>
      <c r="D33" s="357">
        <v>7452.71</v>
      </c>
      <c r="E33" s="357">
        <f>'B4 CTMT SN'!F20+'B4 CTMT SN'!F32+'B4 CTMT SN'!F202+'B4 CTMT SN'!F213+'B4 CTMT SN'!F222</f>
        <v>692.75583000000006</v>
      </c>
      <c r="F33" s="358">
        <f>E33+('B3 CTMT.đầu tư'!T145+'B3 CTMT.đầu tư'!T208+'B3 CTMT.đầu tư'!T209+'B3 CTMT.đầu tư'!T230+'B3 CTMT.đầu tư'!T231)</f>
        <v>4115.6168299999999</v>
      </c>
      <c r="G33" s="357">
        <f t="shared" si="16"/>
        <v>3202.7930000000006</v>
      </c>
      <c r="H33" s="357">
        <f>L33+O33+R33</f>
        <v>3202.7930000000006</v>
      </c>
      <c r="I33" s="357">
        <f t="shared" si="20"/>
        <v>0</v>
      </c>
      <c r="J33" s="260">
        <f t="shared" si="4"/>
        <v>42.974877594861468</v>
      </c>
      <c r="K33" s="357">
        <f t="shared" si="11"/>
        <v>1041.6400000000001</v>
      </c>
      <c r="L33" s="360">
        <f>'B3 CTMT.đầu tư'!U230</f>
        <v>1041.6400000000001</v>
      </c>
      <c r="M33" s="357"/>
      <c r="N33" s="357">
        <f t="shared" si="12"/>
        <v>0</v>
      </c>
      <c r="O33" s="357"/>
      <c r="P33" s="357"/>
      <c r="Q33" s="357">
        <f t="shared" si="13"/>
        <v>2161.1530000000002</v>
      </c>
      <c r="R33" s="357">
        <f>'B3 CTMT.đầu tư'!U99+'B3 CTMT.đầu tư'!U145</f>
        <v>2161.1530000000002</v>
      </c>
      <c r="S33" s="357"/>
      <c r="T33" s="215"/>
    </row>
    <row r="34" spans="1:20" s="538" customFormat="1">
      <c r="A34" s="207">
        <v>9</v>
      </c>
      <c r="B34" s="214" t="s">
        <v>65</v>
      </c>
      <c r="C34" s="357">
        <f t="shared" si="7"/>
        <v>9998.9074199999995</v>
      </c>
      <c r="D34" s="357">
        <v>7652.87</v>
      </c>
      <c r="E34" s="357">
        <f>'B4 CTMT SN'!F22+'B4 CTMT SN'!F203+'B4 CTMT SN'!F214</f>
        <v>614.74786000000006</v>
      </c>
      <c r="F34" s="358">
        <f>E34+('B3 CTMT.đầu tư'!T147+'B3 CTMT.đầu tư'!T210+'B3 CTMT.đầu tư'!T211+'B3 CTMT.đầu tư'!T232+'B3 CTMT.đầu tư'!T233)</f>
        <v>2346.0374200000001</v>
      </c>
      <c r="G34" s="357">
        <f t="shared" si="16"/>
        <v>0</v>
      </c>
      <c r="H34" s="357">
        <f t="shared" si="19"/>
        <v>0</v>
      </c>
      <c r="I34" s="357">
        <f t="shared" si="20"/>
        <v>0</v>
      </c>
      <c r="J34" s="260">
        <f t="shared" si="4"/>
        <v>0</v>
      </c>
      <c r="K34" s="357">
        <f t="shared" si="11"/>
        <v>0</v>
      </c>
      <c r="L34" s="360"/>
      <c r="M34" s="357"/>
      <c r="N34" s="357">
        <f t="shared" si="12"/>
        <v>0</v>
      </c>
      <c r="O34" s="357"/>
      <c r="P34" s="357"/>
      <c r="Q34" s="357">
        <f t="shared" si="13"/>
        <v>0</v>
      </c>
      <c r="R34" s="357"/>
      <c r="S34" s="357"/>
      <c r="T34" s="215"/>
    </row>
    <row r="35" spans="1:20" s="538" customFormat="1">
      <c r="A35" s="207">
        <v>10</v>
      </c>
      <c r="B35" s="214" t="s">
        <v>66</v>
      </c>
      <c r="C35" s="357">
        <f t="shared" si="7"/>
        <v>10453.80416</v>
      </c>
      <c r="D35" s="357">
        <v>8337.5499999999993</v>
      </c>
      <c r="E35" s="357">
        <f>'B4 CTMT SN'!F23+'B4 CTMT SN'!F215</f>
        <v>581.45000000000005</v>
      </c>
      <c r="F35" s="358">
        <f>E35+('B3 CTMT.đầu tư'!T148+'B3 CTMT.đầu tư'!T212+'B3 CTMT.đầu tư'!T234+'B3 CTMT.đầu tư'!T235)</f>
        <v>2116.25416</v>
      </c>
      <c r="G35" s="357">
        <f t="shared" si="16"/>
        <v>2421.3108400000001</v>
      </c>
      <c r="H35" s="357">
        <f t="shared" si="19"/>
        <v>2421.3108400000001</v>
      </c>
      <c r="I35" s="357">
        <f t="shared" si="20"/>
        <v>0</v>
      </c>
      <c r="J35" s="260">
        <f t="shared" si="4"/>
        <v>29.041035316130042</v>
      </c>
      <c r="K35" s="357">
        <f t="shared" si="11"/>
        <v>0</v>
      </c>
      <c r="L35" s="360"/>
      <c r="M35" s="357"/>
      <c r="N35" s="357">
        <f t="shared" si="12"/>
        <v>0</v>
      </c>
      <c r="O35" s="357"/>
      <c r="P35" s="357"/>
      <c r="Q35" s="357">
        <f t="shared" si="13"/>
        <v>2421.3108400000001</v>
      </c>
      <c r="R35" s="357">
        <f>'B3 CTMT.đầu tư'!W148</f>
        <v>2421.3108400000001</v>
      </c>
      <c r="S35" s="357"/>
      <c r="T35" s="215"/>
    </row>
    <row r="36" spans="1:20" s="538" customFormat="1">
      <c r="A36" s="207">
        <v>11</v>
      </c>
      <c r="B36" s="214" t="s">
        <v>44</v>
      </c>
      <c r="C36" s="357">
        <f t="shared" si="7"/>
        <v>9915.6310000000012</v>
      </c>
      <c r="D36" s="357">
        <v>6648.85</v>
      </c>
      <c r="E36" s="357">
        <f>'B4 CTMT SN'!F15+'B4 CTMT SN'!F204+'B4 CTMT SN'!F216</f>
        <v>497.84199999999998</v>
      </c>
      <c r="F36" s="358">
        <f>E36+('B3 CTMT.đầu tư'!T141+'B3 CTMT.đầu tư'!T213+'B3 CTMT.đầu tư'!T214+'B3 CTMT.đầu tư'!T236)</f>
        <v>3266.7810000000004</v>
      </c>
      <c r="G36" s="357">
        <f t="shared" si="16"/>
        <v>9</v>
      </c>
      <c r="H36" s="357">
        <f t="shared" si="19"/>
        <v>0</v>
      </c>
      <c r="I36" s="357">
        <f t="shared" si="20"/>
        <v>9</v>
      </c>
      <c r="J36" s="260">
        <f t="shared" si="4"/>
        <v>0.13536175428833558</v>
      </c>
      <c r="K36" s="357">
        <f t="shared" si="11"/>
        <v>0</v>
      </c>
      <c r="L36" s="360"/>
      <c r="M36" s="357"/>
      <c r="N36" s="358">
        <f t="shared" si="12"/>
        <v>0</v>
      </c>
      <c r="O36" s="358">
        <f>'B3 CTMT.đầu tư'!V59</f>
        <v>0</v>
      </c>
      <c r="P36" s="357"/>
      <c r="Q36" s="357">
        <f t="shared" si="13"/>
        <v>9</v>
      </c>
      <c r="R36" s="357"/>
      <c r="S36" s="357">
        <f>'B4 CTMT SN'!I252</f>
        <v>9</v>
      </c>
      <c r="T36" s="215"/>
    </row>
    <row r="37" spans="1:20" s="353" customFormat="1" ht="28.5" customHeight="1">
      <c r="A37" s="520" t="s">
        <v>13</v>
      </c>
      <c r="B37" s="216" t="s">
        <v>482</v>
      </c>
      <c r="C37" s="356">
        <f t="shared" si="7"/>
        <v>5488.2</v>
      </c>
      <c r="D37" s="356">
        <v>5488.2</v>
      </c>
      <c r="E37" s="356"/>
      <c r="F37" s="359"/>
      <c r="G37" s="356"/>
      <c r="H37" s="356"/>
      <c r="I37" s="356"/>
      <c r="J37" s="259">
        <f t="shared" si="4"/>
        <v>0</v>
      </c>
      <c r="K37" s="356"/>
      <c r="L37" s="361"/>
      <c r="M37" s="356"/>
      <c r="N37" s="356"/>
      <c r="O37" s="356"/>
      <c r="P37" s="356"/>
      <c r="Q37" s="356"/>
      <c r="R37" s="356"/>
      <c r="S37" s="356"/>
      <c r="T37" s="204" t="s">
        <v>481</v>
      </c>
    </row>
  </sheetData>
  <mergeCells count="29">
    <mergeCell ref="B5:B9"/>
    <mergeCell ref="T5:T9"/>
    <mergeCell ref="K6:M6"/>
    <mergeCell ref="N6:P6"/>
    <mergeCell ref="L7:L9"/>
    <mergeCell ref="M7:M9"/>
    <mergeCell ref="N7:N9"/>
    <mergeCell ref="O7:O9"/>
    <mergeCell ref="P7:P9"/>
    <mergeCell ref="F7:F9"/>
    <mergeCell ref="C7:C9"/>
    <mergeCell ref="C6:J6"/>
    <mergeCell ref="C5:S5"/>
    <mergeCell ref="A3:T3"/>
    <mergeCell ref="S1:T1"/>
    <mergeCell ref="A2:T2"/>
    <mergeCell ref="D7:D9"/>
    <mergeCell ref="G7:I7"/>
    <mergeCell ref="G8:G9"/>
    <mergeCell ref="J7:J9"/>
    <mergeCell ref="H8:H9"/>
    <mergeCell ref="I8:I9"/>
    <mergeCell ref="Q7:Q9"/>
    <mergeCell ref="R7:R9"/>
    <mergeCell ref="S7:S9"/>
    <mergeCell ref="Q6:S6"/>
    <mergeCell ref="K7:K9"/>
    <mergeCell ref="A4:T4"/>
    <mergeCell ref="A5:A9"/>
  </mergeCells>
  <pageMargins left="0.23622047244094491" right="0.19685039370078741" top="0.51181102362204722" bottom="0.23622047244094491"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Z236"/>
  <sheetViews>
    <sheetView tabSelected="1" zoomScale="75" zoomScaleNormal="75" workbookViewId="0">
      <pane xSplit="21750" topLeftCell="R1"/>
      <selection activeCell="C199" sqref="C199"/>
      <selection pane="topRight" activeCell="O27" sqref="O27"/>
    </sheetView>
  </sheetViews>
  <sheetFormatPr defaultRowHeight="15.75"/>
  <cols>
    <col min="1" max="1" width="9.6640625" style="20" customWidth="1"/>
    <col min="2" max="2" width="65.5" style="20" customWidth="1"/>
    <col min="3" max="3" width="26.1640625" style="125" customWidth="1"/>
    <col min="4" max="4" width="20.6640625" style="125" customWidth="1"/>
    <col min="5" max="5" width="13.5" style="20" customWidth="1"/>
    <col min="6" max="7" width="14" style="20" customWidth="1"/>
    <col min="8" max="8" width="14.5" style="20" hidden="1" customWidth="1"/>
    <col min="9" max="9" width="14.5" style="21" hidden="1" customWidth="1"/>
    <col min="10" max="10" width="15.6640625" style="21" hidden="1" customWidth="1"/>
    <col min="11" max="11" width="15.83203125" style="21" hidden="1" customWidth="1"/>
    <col min="12" max="12" width="14.5" style="21" hidden="1" customWidth="1"/>
    <col min="13" max="13" width="21.5" style="21" hidden="1" customWidth="1"/>
    <col min="14" max="14" width="20.1640625" style="20" hidden="1" customWidth="1"/>
    <col min="15" max="15" width="13.6640625" style="20" hidden="1" customWidth="1"/>
    <col min="16" max="16" width="32.1640625" style="20" hidden="1" customWidth="1"/>
    <col min="17" max="17" width="12.1640625" style="20" hidden="1" customWidth="1"/>
    <col min="18" max="18" width="16.1640625" style="20" customWidth="1"/>
    <col min="19" max="19" width="16.33203125" style="22" customWidth="1"/>
    <col min="20" max="20" width="15.33203125" style="21" customWidth="1"/>
    <col min="21" max="21" width="15.1640625" style="21" customWidth="1"/>
    <col min="22" max="22" width="14.5" style="21" customWidth="1"/>
    <col min="23" max="23" width="15.83203125" style="565" customWidth="1"/>
    <col min="24" max="24" width="15.83203125" style="21" customWidth="1"/>
    <col min="25" max="25" width="17.33203125" style="20" customWidth="1"/>
    <col min="26" max="238" width="9.33203125" style="20"/>
    <col min="239" max="239" width="9.6640625" style="20" customWidth="1"/>
    <col min="240" max="240" width="58.1640625" style="20" customWidth="1"/>
    <col min="241" max="241" width="33.5" style="20" customWidth="1"/>
    <col min="242" max="242" width="22.1640625" style="20" customWidth="1"/>
    <col min="243" max="243" width="25.5" style="20" customWidth="1"/>
    <col min="244" max="244" width="56.33203125" style="20" customWidth="1"/>
    <col min="245" max="245" width="66.1640625" style="20" customWidth="1"/>
    <col min="246" max="251" width="11" style="20" customWidth="1"/>
    <col min="252" max="252" width="13.5" style="20" customWidth="1"/>
    <col min="253" max="253" width="9" style="20" customWidth="1"/>
    <col min="254" max="494" width="9.33203125" style="20"/>
    <col min="495" max="495" width="9.6640625" style="20" customWidth="1"/>
    <col min="496" max="496" width="58.1640625" style="20" customWidth="1"/>
    <col min="497" max="497" width="33.5" style="20" customWidth="1"/>
    <col min="498" max="498" width="22.1640625" style="20" customWidth="1"/>
    <col min="499" max="499" width="25.5" style="20" customWidth="1"/>
    <col min="500" max="500" width="56.33203125" style="20" customWidth="1"/>
    <col min="501" max="501" width="66.1640625" style="20" customWidth="1"/>
    <col min="502" max="507" width="11" style="20" customWidth="1"/>
    <col min="508" max="508" width="13.5" style="20" customWidth="1"/>
    <col min="509" max="509" width="9" style="20" customWidth="1"/>
    <col min="510" max="750" width="9.33203125" style="20"/>
    <col min="751" max="751" width="9.6640625" style="20" customWidth="1"/>
    <col min="752" max="752" width="58.1640625" style="20" customWidth="1"/>
    <col min="753" max="753" width="33.5" style="20" customWidth="1"/>
    <col min="754" max="754" width="22.1640625" style="20" customWidth="1"/>
    <col min="755" max="755" width="25.5" style="20" customWidth="1"/>
    <col min="756" max="756" width="56.33203125" style="20" customWidth="1"/>
    <col min="757" max="757" width="66.1640625" style="20" customWidth="1"/>
    <col min="758" max="763" width="11" style="20" customWidth="1"/>
    <col min="764" max="764" width="13.5" style="20" customWidth="1"/>
    <col min="765" max="765" width="9" style="20" customWidth="1"/>
    <col min="766" max="1006" width="9.33203125" style="20"/>
    <col min="1007" max="1007" width="9.6640625" style="20" customWidth="1"/>
    <col min="1008" max="1008" width="58.1640625" style="20" customWidth="1"/>
    <col min="1009" max="1009" width="33.5" style="20" customWidth="1"/>
    <col min="1010" max="1010" width="22.1640625" style="20" customWidth="1"/>
    <col min="1011" max="1011" width="25.5" style="20" customWidth="1"/>
    <col min="1012" max="1012" width="56.33203125" style="20" customWidth="1"/>
    <col min="1013" max="1013" width="66.1640625" style="20" customWidth="1"/>
    <col min="1014" max="1019" width="11" style="20" customWidth="1"/>
    <col min="1020" max="1020" width="13.5" style="20" customWidth="1"/>
    <col min="1021" max="1021" width="9" style="20" customWidth="1"/>
    <col min="1022" max="1262" width="9.33203125" style="20"/>
    <col min="1263" max="1263" width="9.6640625" style="20" customWidth="1"/>
    <col min="1264" max="1264" width="58.1640625" style="20" customWidth="1"/>
    <col min="1265" max="1265" width="33.5" style="20" customWidth="1"/>
    <col min="1266" max="1266" width="22.1640625" style="20" customWidth="1"/>
    <col min="1267" max="1267" width="25.5" style="20" customWidth="1"/>
    <col min="1268" max="1268" width="56.33203125" style="20" customWidth="1"/>
    <col min="1269" max="1269" width="66.1640625" style="20" customWidth="1"/>
    <col min="1270" max="1275" width="11" style="20" customWidth="1"/>
    <col min="1276" max="1276" width="13.5" style="20" customWidth="1"/>
    <col min="1277" max="1277" width="9" style="20" customWidth="1"/>
    <col min="1278" max="1518" width="9.33203125" style="20"/>
    <col min="1519" max="1519" width="9.6640625" style="20" customWidth="1"/>
    <col min="1520" max="1520" width="58.1640625" style="20" customWidth="1"/>
    <col min="1521" max="1521" width="33.5" style="20" customWidth="1"/>
    <col min="1522" max="1522" width="22.1640625" style="20" customWidth="1"/>
    <col min="1523" max="1523" width="25.5" style="20" customWidth="1"/>
    <col min="1524" max="1524" width="56.33203125" style="20" customWidth="1"/>
    <col min="1525" max="1525" width="66.1640625" style="20" customWidth="1"/>
    <col min="1526" max="1531" width="11" style="20" customWidth="1"/>
    <col min="1532" max="1532" width="13.5" style="20" customWidth="1"/>
    <col min="1533" max="1533" width="9" style="20" customWidth="1"/>
    <col min="1534" max="1774" width="9.33203125" style="20"/>
    <col min="1775" max="1775" width="9.6640625" style="20" customWidth="1"/>
    <col min="1776" max="1776" width="58.1640625" style="20" customWidth="1"/>
    <col min="1777" max="1777" width="33.5" style="20" customWidth="1"/>
    <col min="1778" max="1778" width="22.1640625" style="20" customWidth="1"/>
    <col min="1779" max="1779" width="25.5" style="20" customWidth="1"/>
    <col min="1780" max="1780" width="56.33203125" style="20" customWidth="1"/>
    <col min="1781" max="1781" width="66.1640625" style="20" customWidth="1"/>
    <col min="1782" max="1787" width="11" style="20" customWidth="1"/>
    <col min="1788" max="1788" width="13.5" style="20" customWidth="1"/>
    <col min="1789" max="1789" width="9" style="20" customWidth="1"/>
    <col min="1790" max="2030" width="9.33203125" style="20"/>
    <col min="2031" max="2031" width="9.6640625" style="20" customWidth="1"/>
    <col min="2032" max="2032" width="58.1640625" style="20" customWidth="1"/>
    <col min="2033" max="2033" width="33.5" style="20" customWidth="1"/>
    <col min="2034" max="2034" width="22.1640625" style="20" customWidth="1"/>
    <col min="2035" max="2035" width="25.5" style="20" customWidth="1"/>
    <col min="2036" max="2036" width="56.33203125" style="20" customWidth="1"/>
    <col min="2037" max="2037" width="66.1640625" style="20" customWidth="1"/>
    <col min="2038" max="2043" width="11" style="20" customWidth="1"/>
    <col min="2044" max="2044" width="13.5" style="20" customWidth="1"/>
    <col min="2045" max="2045" width="9" style="20" customWidth="1"/>
    <col min="2046" max="2286" width="9.33203125" style="20"/>
    <col min="2287" max="2287" width="9.6640625" style="20" customWidth="1"/>
    <col min="2288" max="2288" width="58.1640625" style="20" customWidth="1"/>
    <col min="2289" max="2289" width="33.5" style="20" customWidth="1"/>
    <col min="2290" max="2290" width="22.1640625" style="20" customWidth="1"/>
    <col min="2291" max="2291" width="25.5" style="20" customWidth="1"/>
    <col min="2292" max="2292" width="56.33203125" style="20" customWidth="1"/>
    <col min="2293" max="2293" width="66.1640625" style="20" customWidth="1"/>
    <col min="2294" max="2299" width="11" style="20" customWidth="1"/>
    <col min="2300" max="2300" width="13.5" style="20" customWidth="1"/>
    <col min="2301" max="2301" width="9" style="20" customWidth="1"/>
    <col min="2302" max="2542" width="9.33203125" style="20"/>
    <col min="2543" max="2543" width="9.6640625" style="20" customWidth="1"/>
    <col min="2544" max="2544" width="58.1640625" style="20" customWidth="1"/>
    <col min="2545" max="2545" width="33.5" style="20" customWidth="1"/>
    <col min="2546" max="2546" width="22.1640625" style="20" customWidth="1"/>
    <col min="2547" max="2547" width="25.5" style="20" customWidth="1"/>
    <col min="2548" max="2548" width="56.33203125" style="20" customWidth="1"/>
    <col min="2549" max="2549" width="66.1640625" style="20" customWidth="1"/>
    <col min="2550" max="2555" width="11" style="20" customWidth="1"/>
    <col min="2556" max="2556" width="13.5" style="20" customWidth="1"/>
    <col min="2557" max="2557" width="9" style="20" customWidth="1"/>
    <col min="2558" max="2798" width="9.33203125" style="20"/>
    <col min="2799" max="2799" width="9.6640625" style="20" customWidth="1"/>
    <col min="2800" max="2800" width="58.1640625" style="20" customWidth="1"/>
    <col min="2801" max="2801" width="33.5" style="20" customWidth="1"/>
    <col min="2802" max="2802" width="22.1640625" style="20" customWidth="1"/>
    <col min="2803" max="2803" width="25.5" style="20" customWidth="1"/>
    <col min="2804" max="2804" width="56.33203125" style="20" customWidth="1"/>
    <col min="2805" max="2805" width="66.1640625" style="20" customWidth="1"/>
    <col min="2806" max="2811" width="11" style="20" customWidth="1"/>
    <col min="2812" max="2812" width="13.5" style="20" customWidth="1"/>
    <col min="2813" max="2813" width="9" style="20" customWidth="1"/>
    <col min="2814" max="3054" width="9.33203125" style="20"/>
    <col min="3055" max="3055" width="9.6640625" style="20" customWidth="1"/>
    <col min="3056" max="3056" width="58.1640625" style="20" customWidth="1"/>
    <col min="3057" max="3057" width="33.5" style="20" customWidth="1"/>
    <col min="3058" max="3058" width="22.1640625" style="20" customWidth="1"/>
    <col min="3059" max="3059" width="25.5" style="20" customWidth="1"/>
    <col min="3060" max="3060" width="56.33203125" style="20" customWidth="1"/>
    <col min="3061" max="3061" width="66.1640625" style="20" customWidth="1"/>
    <col min="3062" max="3067" width="11" style="20" customWidth="1"/>
    <col min="3068" max="3068" width="13.5" style="20" customWidth="1"/>
    <col min="3069" max="3069" width="9" style="20" customWidth="1"/>
    <col min="3070" max="3310" width="9.33203125" style="20"/>
    <col min="3311" max="3311" width="9.6640625" style="20" customWidth="1"/>
    <col min="3312" max="3312" width="58.1640625" style="20" customWidth="1"/>
    <col min="3313" max="3313" width="33.5" style="20" customWidth="1"/>
    <col min="3314" max="3314" width="22.1640625" style="20" customWidth="1"/>
    <col min="3315" max="3315" width="25.5" style="20" customWidth="1"/>
    <col min="3316" max="3316" width="56.33203125" style="20" customWidth="1"/>
    <col min="3317" max="3317" width="66.1640625" style="20" customWidth="1"/>
    <col min="3318" max="3323" width="11" style="20" customWidth="1"/>
    <col min="3324" max="3324" width="13.5" style="20" customWidth="1"/>
    <col min="3325" max="3325" width="9" style="20" customWidth="1"/>
    <col min="3326" max="3566" width="9.33203125" style="20"/>
    <col min="3567" max="3567" width="9.6640625" style="20" customWidth="1"/>
    <col min="3568" max="3568" width="58.1640625" style="20" customWidth="1"/>
    <col min="3569" max="3569" width="33.5" style="20" customWidth="1"/>
    <col min="3570" max="3570" width="22.1640625" style="20" customWidth="1"/>
    <col min="3571" max="3571" width="25.5" style="20" customWidth="1"/>
    <col min="3572" max="3572" width="56.33203125" style="20" customWidth="1"/>
    <col min="3573" max="3573" width="66.1640625" style="20" customWidth="1"/>
    <col min="3574" max="3579" width="11" style="20" customWidth="1"/>
    <col min="3580" max="3580" width="13.5" style="20" customWidth="1"/>
    <col min="3581" max="3581" width="9" style="20" customWidth="1"/>
    <col min="3582" max="3822" width="9.33203125" style="20"/>
    <col min="3823" max="3823" width="9.6640625" style="20" customWidth="1"/>
    <col min="3824" max="3824" width="58.1640625" style="20" customWidth="1"/>
    <col min="3825" max="3825" width="33.5" style="20" customWidth="1"/>
    <col min="3826" max="3826" width="22.1640625" style="20" customWidth="1"/>
    <col min="3827" max="3827" width="25.5" style="20" customWidth="1"/>
    <col min="3828" max="3828" width="56.33203125" style="20" customWidth="1"/>
    <col min="3829" max="3829" width="66.1640625" style="20" customWidth="1"/>
    <col min="3830" max="3835" width="11" style="20" customWidth="1"/>
    <col min="3836" max="3836" width="13.5" style="20" customWidth="1"/>
    <col min="3837" max="3837" width="9" style="20" customWidth="1"/>
    <col min="3838" max="4078" width="9.33203125" style="20"/>
    <col min="4079" max="4079" width="9.6640625" style="20" customWidth="1"/>
    <col min="4080" max="4080" width="58.1640625" style="20" customWidth="1"/>
    <col min="4081" max="4081" width="33.5" style="20" customWidth="1"/>
    <col min="4082" max="4082" width="22.1640625" style="20" customWidth="1"/>
    <col min="4083" max="4083" width="25.5" style="20" customWidth="1"/>
    <col min="4084" max="4084" width="56.33203125" style="20" customWidth="1"/>
    <col min="4085" max="4085" width="66.1640625" style="20" customWidth="1"/>
    <col min="4086" max="4091" width="11" style="20" customWidth="1"/>
    <col min="4092" max="4092" width="13.5" style="20" customWidth="1"/>
    <col min="4093" max="4093" width="9" style="20" customWidth="1"/>
    <col min="4094" max="4334" width="9.33203125" style="20"/>
    <col min="4335" max="4335" width="9.6640625" style="20" customWidth="1"/>
    <col min="4336" max="4336" width="58.1640625" style="20" customWidth="1"/>
    <col min="4337" max="4337" width="33.5" style="20" customWidth="1"/>
    <col min="4338" max="4338" width="22.1640625" style="20" customWidth="1"/>
    <col min="4339" max="4339" width="25.5" style="20" customWidth="1"/>
    <col min="4340" max="4340" width="56.33203125" style="20" customWidth="1"/>
    <col min="4341" max="4341" width="66.1640625" style="20" customWidth="1"/>
    <col min="4342" max="4347" width="11" style="20" customWidth="1"/>
    <col min="4348" max="4348" width="13.5" style="20" customWidth="1"/>
    <col min="4349" max="4349" width="9" style="20" customWidth="1"/>
    <col min="4350" max="4590" width="9.33203125" style="20"/>
    <col min="4591" max="4591" width="9.6640625" style="20" customWidth="1"/>
    <col min="4592" max="4592" width="58.1640625" style="20" customWidth="1"/>
    <col min="4593" max="4593" width="33.5" style="20" customWidth="1"/>
    <col min="4594" max="4594" width="22.1640625" style="20" customWidth="1"/>
    <col min="4595" max="4595" width="25.5" style="20" customWidth="1"/>
    <col min="4596" max="4596" width="56.33203125" style="20" customWidth="1"/>
    <col min="4597" max="4597" width="66.1640625" style="20" customWidth="1"/>
    <col min="4598" max="4603" width="11" style="20" customWidth="1"/>
    <col min="4604" max="4604" width="13.5" style="20" customWidth="1"/>
    <col min="4605" max="4605" width="9" style="20" customWidth="1"/>
    <col min="4606" max="4846" width="9.33203125" style="20"/>
    <col min="4847" max="4847" width="9.6640625" style="20" customWidth="1"/>
    <col min="4848" max="4848" width="58.1640625" style="20" customWidth="1"/>
    <col min="4849" max="4849" width="33.5" style="20" customWidth="1"/>
    <col min="4850" max="4850" width="22.1640625" style="20" customWidth="1"/>
    <col min="4851" max="4851" width="25.5" style="20" customWidth="1"/>
    <col min="4852" max="4852" width="56.33203125" style="20" customWidth="1"/>
    <col min="4853" max="4853" width="66.1640625" style="20" customWidth="1"/>
    <col min="4854" max="4859" width="11" style="20" customWidth="1"/>
    <col min="4860" max="4860" width="13.5" style="20" customWidth="1"/>
    <col min="4861" max="4861" width="9" style="20" customWidth="1"/>
    <col min="4862" max="5102" width="9.33203125" style="20"/>
    <col min="5103" max="5103" width="9.6640625" style="20" customWidth="1"/>
    <col min="5104" max="5104" width="58.1640625" style="20" customWidth="1"/>
    <col min="5105" max="5105" width="33.5" style="20" customWidth="1"/>
    <col min="5106" max="5106" width="22.1640625" style="20" customWidth="1"/>
    <col min="5107" max="5107" width="25.5" style="20" customWidth="1"/>
    <col min="5108" max="5108" width="56.33203125" style="20" customWidth="1"/>
    <col min="5109" max="5109" width="66.1640625" style="20" customWidth="1"/>
    <col min="5110" max="5115" width="11" style="20" customWidth="1"/>
    <col min="5116" max="5116" width="13.5" style="20" customWidth="1"/>
    <col min="5117" max="5117" width="9" style="20" customWidth="1"/>
    <col min="5118" max="5358" width="9.33203125" style="20"/>
    <col min="5359" max="5359" width="9.6640625" style="20" customWidth="1"/>
    <col min="5360" max="5360" width="58.1640625" style="20" customWidth="1"/>
    <col min="5361" max="5361" width="33.5" style="20" customWidth="1"/>
    <col min="5362" max="5362" width="22.1640625" style="20" customWidth="1"/>
    <col min="5363" max="5363" width="25.5" style="20" customWidth="1"/>
    <col min="5364" max="5364" width="56.33203125" style="20" customWidth="1"/>
    <col min="5365" max="5365" width="66.1640625" style="20" customWidth="1"/>
    <col min="5366" max="5371" width="11" style="20" customWidth="1"/>
    <col min="5372" max="5372" width="13.5" style="20" customWidth="1"/>
    <col min="5373" max="5373" width="9" style="20" customWidth="1"/>
    <col min="5374" max="5614" width="9.33203125" style="20"/>
    <col min="5615" max="5615" width="9.6640625" style="20" customWidth="1"/>
    <col min="5616" max="5616" width="58.1640625" style="20" customWidth="1"/>
    <col min="5617" max="5617" width="33.5" style="20" customWidth="1"/>
    <col min="5618" max="5618" width="22.1640625" style="20" customWidth="1"/>
    <col min="5619" max="5619" width="25.5" style="20" customWidth="1"/>
    <col min="5620" max="5620" width="56.33203125" style="20" customWidth="1"/>
    <col min="5621" max="5621" width="66.1640625" style="20" customWidth="1"/>
    <col min="5622" max="5627" width="11" style="20" customWidth="1"/>
    <col min="5628" max="5628" width="13.5" style="20" customWidth="1"/>
    <col min="5629" max="5629" width="9" style="20" customWidth="1"/>
    <col min="5630" max="5870" width="9.33203125" style="20"/>
    <col min="5871" max="5871" width="9.6640625" style="20" customWidth="1"/>
    <col min="5872" max="5872" width="58.1640625" style="20" customWidth="1"/>
    <col min="5873" max="5873" width="33.5" style="20" customWidth="1"/>
    <col min="5874" max="5874" width="22.1640625" style="20" customWidth="1"/>
    <col min="5875" max="5875" width="25.5" style="20" customWidth="1"/>
    <col min="5876" max="5876" width="56.33203125" style="20" customWidth="1"/>
    <col min="5877" max="5877" width="66.1640625" style="20" customWidth="1"/>
    <col min="5878" max="5883" width="11" style="20" customWidth="1"/>
    <col min="5884" max="5884" width="13.5" style="20" customWidth="1"/>
    <col min="5885" max="5885" width="9" style="20" customWidth="1"/>
    <col min="5886" max="6126" width="9.33203125" style="20"/>
    <col min="6127" max="6127" width="9.6640625" style="20" customWidth="1"/>
    <col min="6128" max="6128" width="58.1640625" style="20" customWidth="1"/>
    <col min="6129" max="6129" width="33.5" style="20" customWidth="1"/>
    <col min="6130" max="6130" width="22.1640625" style="20" customWidth="1"/>
    <col min="6131" max="6131" width="25.5" style="20" customWidth="1"/>
    <col min="6132" max="6132" width="56.33203125" style="20" customWidth="1"/>
    <col min="6133" max="6133" width="66.1640625" style="20" customWidth="1"/>
    <col min="6134" max="6139" width="11" style="20" customWidth="1"/>
    <col min="6140" max="6140" width="13.5" style="20" customWidth="1"/>
    <col min="6141" max="6141" width="9" style="20" customWidth="1"/>
    <col min="6142" max="6382" width="9.33203125" style="20"/>
    <col min="6383" max="6383" width="9.6640625" style="20" customWidth="1"/>
    <col min="6384" max="6384" width="58.1640625" style="20" customWidth="1"/>
    <col min="6385" max="6385" width="33.5" style="20" customWidth="1"/>
    <col min="6386" max="6386" width="22.1640625" style="20" customWidth="1"/>
    <col min="6387" max="6387" width="25.5" style="20" customWidth="1"/>
    <col min="6388" max="6388" width="56.33203125" style="20" customWidth="1"/>
    <col min="6389" max="6389" width="66.1640625" style="20" customWidth="1"/>
    <col min="6390" max="6395" width="11" style="20" customWidth="1"/>
    <col min="6396" max="6396" width="13.5" style="20" customWidth="1"/>
    <col min="6397" max="6397" width="9" style="20" customWidth="1"/>
    <col min="6398" max="6638" width="9.33203125" style="20"/>
    <col min="6639" max="6639" width="9.6640625" style="20" customWidth="1"/>
    <col min="6640" max="6640" width="58.1640625" style="20" customWidth="1"/>
    <col min="6641" max="6641" width="33.5" style="20" customWidth="1"/>
    <col min="6642" max="6642" width="22.1640625" style="20" customWidth="1"/>
    <col min="6643" max="6643" width="25.5" style="20" customWidth="1"/>
    <col min="6644" max="6644" width="56.33203125" style="20" customWidth="1"/>
    <col min="6645" max="6645" width="66.1640625" style="20" customWidth="1"/>
    <col min="6646" max="6651" width="11" style="20" customWidth="1"/>
    <col min="6652" max="6652" width="13.5" style="20" customWidth="1"/>
    <col min="6653" max="6653" width="9" style="20" customWidth="1"/>
    <col min="6654" max="6894" width="9.33203125" style="20"/>
    <col min="6895" max="6895" width="9.6640625" style="20" customWidth="1"/>
    <col min="6896" max="6896" width="58.1640625" style="20" customWidth="1"/>
    <col min="6897" max="6897" width="33.5" style="20" customWidth="1"/>
    <col min="6898" max="6898" width="22.1640625" style="20" customWidth="1"/>
    <col min="6899" max="6899" width="25.5" style="20" customWidth="1"/>
    <col min="6900" max="6900" width="56.33203125" style="20" customWidth="1"/>
    <col min="6901" max="6901" width="66.1640625" style="20" customWidth="1"/>
    <col min="6902" max="6907" width="11" style="20" customWidth="1"/>
    <col min="6908" max="6908" width="13.5" style="20" customWidth="1"/>
    <col min="6909" max="6909" width="9" style="20" customWidth="1"/>
    <col min="6910" max="7150" width="9.33203125" style="20"/>
    <col min="7151" max="7151" width="9.6640625" style="20" customWidth="1"/>
    <col min="7152" max="7152" width="58.1640625" style="20" customWidth="1"/>
    <col min="7153" max="7153" width="33.5" style="20" customWidth="1"/>
    <col min="7154" max="7154" width="22.1640625" style="20" customWidth="1"/>
    <col min="7155" max="7155" width="25.5" style="20" customWidth="1"/>
    <col min="7156" max="7156" width="56.33203125" style="20" customWidth="1"/>
    <col min="7157" max="7157" width="66.1640625" style="20" customWidth="1"/>
    <col min="7158" max="7163" width="11" style="20" customWidth="1"/>
    <col min="7164" max="7164" width="13.5" style="20" customWidth="1"/>
    <col min="7165" max="7165" width="9" style="20" customWidth="1"/>
    <col min="7166" max="7406" width="9.33203125" style="20"/>
    <col min="7407" max="7407" width="9.6640625" style="20" customWidth="1"/>
    <col min="7408" max="7408" width="58.1640625" style="20" customWidth="1"/>
    <col min="7409" max="7409" width="33.5" style="20" customWidth="1"/>
    <col min="7410" max="7410" width="22.1640625" style="20" customWidth="1"/>
    <col min="7411" max="7411" width="25.5" style="20" customWidth="1"/>
    <col min="7412" max="7412" width="56.33203125" style="20" customWidth="1"/>
    <col min="7413" max="7413" width="66.1640625" style="20" customWidth="1"/>
    <col min="7414" max="7419" width="11" style="20" customWidth="1"/>
    <col min="7420" max="7420" width="13.5" style="20" customWidth="1"/>
    <col min="7421" max="7421" width="9" style="20" customWidth="1"/>
    <col min="7422" max="7662" width="9.33203125" style="20"/>
    <col min="7663" max="7663" width="9.6640625" style="20" customWidth="1"/>
    <col min="7664" max="7664" width="58.1640625" style="20" customWidth="1"/>
    <col min="7665" max="7665" width="33.5" style="20" customWidth="1"/>
    <col min="7666" max="7666" width="22.1640625" style="20" customWidth="1"/>
    <col min="7667" max="7667" width="25.5" style="20" customWidth="1"/>
    <col min="7668" max="7668" width="56.33203125" style="20" customWidth="1"/>
    <col min="7669" max="7669" width="66.1640625" style="20" customWidth="1"/>
    <col min="7670" max="7675" width="11" style="20" customWidth="1"/>
    <col min="7676" max="7676" width="13.5" style="20" customWidth="1"/>
    <col min="7677" max="7677" width="9" style="20" customWidth="1"/>
    <col min="7678" max="7918" width="9.33203125" style="20"/>
    <col min="7919" max="7919" width="9.6640625" style="20" customWidth="1"/>
    <col min="7920" max="7920" width="58.1640625" style="20" customWidth="1"/>
    <col min="7921" max="7921" width="33.5" style="20" customWidth="1"/>
    <col min="7922" max="7922" width="22.1640625" style="20" customWidth="1"/>
    <col min="7923" max="7923" width="25.5" style="20" customWidth="1"/>
    <col min="7924" max="7924" width="56.33203125" style="20" customWidth="1"/>
    <col min="7925" max="7925" width="66.1640625" style="20" customWidth="1"/>
    <col min="7926" max="7931" width="11" style="20" customWidth="1"/>
    <col min="7932" max="7932" width="13.5" style="20" customWidth="1"/>
    <col min="7933" max="7933" width="9" style="20" customWidth="1"/>
    <col min="7934" max="8174" width="9.33203125" style="20"/>
    <col min="8175" max="8175" width="9.6640625" style="20" customWidth="1"/>
    <col min="8176" max="8176" width="58.1640625" style="20" customWidth="1"/>
    <col min="8177" max="8177" width="33.5" style="20" customWidth="1"/>
    <col min="8178" max="8178" width="22.1640625" style="20" customWidth="1"/>
    <col min="8179" max="8179" width="25.5" style="20" customWidth="1"/>
    <col min="8180" max="8180" width="56.33203125" style="20" customWidth="1"/>
    <col min="8181" max="8181" width="66.1640625" style="20" customWidth="1"/>
    <col min="8182" max="8187" width="11" style="20" customWidth="1"/>
    <col min="8188" max="8188" width="13.5" style="20" customWidth="1"/>
    <col min="8189" max="8189" width="9" style="20" customWidth="1"/>
    <col min="8190" max="8430" width="9.33203125" style="20"/>
    <col min="8431" max="8431" width="9.6640625" style="20" customWidth="1"/>
    <col min="8432" max="8432" width="58.1640625" style="20" customWidth="1"/>
    <col min="8433" max="8433" width="33.5" style="20" customWidth="1"/>
    <col min="8434" max="8434" width="22.1640625" style="20" customWidth="1"/>
    <col min="8435" max="8435" width="25.5" style="20" customWidth="1"/>
    <col min="8436" max="8436" width="56.33203125" style="20" customWidth="1"/>
    <col min="8437" max="8437" width="66.1640625" style="20" customWidth="1"/>
    <col min="8438" max="8443" width="11" style="20" customWidth="1"/>
    <col min="8444" max="8444" width="13.5" style="20" customWidth="1"/>
    <col min="8445" max="8445" width="9" style="20" customWidth="1"/>
    <col min="8446" max="8686" width="9.33203125" style="20"/>
    <col min="8687" max="8687" width="9.6640625" style="20" customWidth="1"/>
    <col min="8688" max="8688" width="58.1640625" style="20" customWidth="1"/>
    <col min="8689" max="8689" width="33.5" style="20" customWidth="1"/>
    <col min="8690" max="8690" width="22.1640625" style="20" customWidth="1"/>
    <col min="8691" max="8691" width="25.5" style="20" customWidth="1"/>
    <col min="8692" max="8692" width="56.33203125" style="20" customWidth="1"/>
    <col min="8693" max="8693" width="66.1640625" style="20" customWidth="1"/>
    <col min="8694" max="8699" width="11" style="20" customWidth="1"/>
    <col min="8700" max="8700" width="13.5" style="20" customWidth="1"/>
    <col min="8701" max="8701" width="9" style="20" customWidth="1"/>
    <col min="8702" max="8942" width="9.33203125" style="20"/>
    <col min="8943" max="8943" width="9.6640625" style="20" customWidth="1"/>
    <col min="8944" max="8944" width="58.1640625" style="20" customWidth="1"/>
    <col min="8945" max="8945" width="33.5" style="20" customWidth="1"/>
    <col min="8946" max="8946" width="22.1640625" style="20" customWidth="1"/>
    <col min="8947" max="8947" width="25.5" style="20" customWidth="1"/>
    <col min="8948" max="8948" width="56.33203125" style="20" customWidth="1"/>
    <col min="8949" max="8949" width="66.1640625" style="20" customWidth="1"/>
    <col min="8950" max="8955" width="11" style="20" customWidth="1"/>
    <col min="8956" max="8956" width="13.5" style="20" customWidth="1"/>
    <col min="8957" max="8957" width="9" style="20" customWidth="1"/>
    <col min="8958" max="9198" width="9.33203125" style="20"/>
    <col min="9199" max="9199" width="9.6640625" style="20" customWidth="1"/>
    <col min="9200" max="9200" width="58.1640625" style="20" customWidth="1"/>
    <col min="9201" max="9201" width="33.5" style="20" customWidth="1"/>
    <col min="9202" max="9202" width="22.1640625" style="20" customWidth="1"/>
    <col min="9203" max="9203" width="25.5" style="20" customWidth="1"/>
    <col min="9204" max="9204" width="56.33203125" style="20" customWidth="1"/>
    <col min="9205" max="9205" width="66.1640625" style="20" customWidth="1"/>
    <col min="9206" max="9211" width="11" style="20" customWidth="1"/>
    <col min="9212" max="9212" width="13.5" style="20" customWidth="1"/>
    <col min="9213" max="9213" width="9" style="20" customWidth="1"/>
    <col min="9214" max="9454" width="9.33203125" style="20"/>
    <col min="9455" max="9455" width="9.6640625" style="20" customWidth="1"/>
    <col min="9456" max="9456" width="58.1640625" style="20" customWidth="1"/>
    <col min="9457" max="9457" width="33.5" style="20" customWidth="1"/>
    <col min="9458" max="9458" width="22.1640625" style="20" customWidth="1"/>
    <col min="9459" max="9459" width="25.5" style="20" customWidth="1"/>
    <col min="9460" max="9460" width="56.33203125" style="20" customWidth="1"/>
    <col min="9461" max="9461" width="66.1640625" style="20" customWidth="1"/>
    <col min="9462" max="9467" width="11" style="20" customWidth="1"/>
    <col min="9468" max="9468" width="13.5" style="20" customWidth="1"/>
    <col min="9469" max="9469" width="9" style="20" customWidth="1"/>
    <col min="9470" max="9710" width="9.33203125" style="20"/>
    <col min="9711" max="9711" width="9.6640625" style="20" customWidth="1"/>
    <col min="9712" max="9712" width="58.1640625" style="20" customWidth="1"/>
    <col min="9713" max="9713" width="33.5" style="20" customWidth="1"/>
    <col min="9714" max="9714" width="22.1640625" style="20" customWidth="1"/>
    <col min="9715" max="9715" width="25.5" style="20" customWidth="1"/>
    <col min="9716" max="9716" width="56.33203125" style="20" customWidth="1"/>
    <col min="9717" max="9717" width="66.1640625" style="20" customWidth="1"/>
    <col min="9718" max="9723" width="11" style="20" customWidth="1"/>
    <col min="9724" max="9724" width="13.5" style="20" customWidth="1"/>
    <col min="9725" max="9725" width="9" style="20" customWidth="1"/>
    <col min="9726" max="9966" width="9.33203125" style="20"/>
    <col min="9967" max="9967" width="9.6640625" style="20" customWidth="1"/>
    <col min="9968" max="9968" width="58.1640625" style="20" customWidth="1"/>
    <col min="9969" max="9969" width="33.5" style="20" customWidth="1"/>
    <col min="9970" max="9970" width="22.1640625" style="20" customWidth="1"/>
    <col min="9971" max="9971" width="25.5" style="20" customWidth="1"/>
    <col min="9972" max="9972" width="56.33203125" style="20" customWidth="1"/>
    <col min="9973" max="9973" width="66.1640625" style="20" customWidth="1"/>
    <col min="9974" max="9979" width="11" style="20" customWidth="1"/>
    <col min="9980" max="9980" width="13.5" style="20" customWidth="1"/>
    <col min="9981" max="9981" width="9" style="20" customWidth="1"/>
    <col min="9982" max="10222" width="9.33203125" style="20"/>
    <col min="10223" max="10223" width="9.6640625" style="20" customWidth="1"/>
    <col min="10224" max="10224" width="58.1640625" style="20" customWidth="1"/>
    <col min="10225" max="10225" width="33.5" style="20" customWidth="1"/>
    <col min="10226" max="10226" width="22.1640625" style="20" customWidth="1"/>
    <col min="10227" max="10227" width="25.5" style="20" customWidth="1"/>
    <col min="10228" max="10228" width="56.33203125" style="20" customWidth="1"/>
    <col min="10229" max="10229" width="66.1640625" style="20" customWidth="1"/>
    <col min="10230" max="10235" width="11" style="20" customWidth="1"/>
    <col min="10236" max="10236" width="13.5" style="20" customWidth="1"/>
    <col min="10237" max="10237" width="9" style="20" customWidth="1"/>
    <col min="10238" max="10478" width="9.33203125" style="20"/>
    <col min="10479" max="10479" width="9.6640625" style="20" customWidth="1"/>
    <col min="10480" max="10480" width="58.1640625" style="20" customWidth="1"/>
    <col min="10481" max="10481" width="33.5" style="20" customWidth="1"/>
    <col min="10482" max="10482" width="22.1640625" style="20" customWidth="1"/>
    <col min="10483" max="10483" width="25.5" style="20" customWidth="1"/>
    <col min="10484" max="10484" width="56.33203125" style="20" customWidth="1"/>
    <col min="10485" max="10485" width="66.1640625" style="20" customWidth="1"/>
    <col min="10486" max="10491" width="11" style="20" customWidth="1"/>
    <col min="10492" max="10492" width="13.5" style="20" customWidth="1"/>
    <col min="10493" max="10493" width="9" style="20" customWidth="1"/>
    <col min="10494" max="10734" width="9.33203125" style="20"/>
    <col min="10735" max="10735" width="9.6640625" style="20" customWidth="1"/>
    <col min="10736" max="10736" width="58.1640625" style="20" customWidth="1"/>
    <col min="10737" max="10737" width="33.5" style="20" customWidth="1"/>
    <col min="10738" max="10738" width="22.1640625" style="20" customWidth="1"/>
    <col min="10739" max="10739" width="25.5" style="20" customWidth="1"/>
    <col min="10740" max="10740" width="56.33203125" style="20" customWidth="1"/>
    <col min="10741" max="10741" width="66.1640625" style="20" customWidth="1"/>
    <col min="10742" max="10747" width="11" style="20" customWidth="1"/>
    <col min="10748" max="10748" width="13.5" style="20" customWidth="1"/>
    <col min="10749" max="10749" width="9" style="20" customWidth="1"/>
    <col min="10750" max="10990" width="9.33203125" style="20"/>
    <col min="10991" max="10991" width="9.6640625" style="20" customWidth="1"/>
    <col min="10992" max="10992" width="58.1640625" style="20" customWidth="1"/>
    <col min="10993" max="10993" width="33.5" style="20" customWidth="1"/>
    <col min="10994" max="10994" width="22.1640625" style="20" customWidth="1"/>
    <col min="10995" max="10995" width="25.5" style="20" customWidth="1"/>
    <col min="10996" max="10996" width="56.33203125" style="20" customWidth="1"/>
    <col min="10997" max="10997" width="66.1640625" style="20" customWidth="1"/>
    <col min="10998" max="11003" width="11" style="20" customWidth="1"/>
    <col min="11004" max="11004" width="13.5" style="20" customWidth="1"/>
    <col min="11005" max="11005" width="9" style="20" customWidth="1"/>
    <col min="11006" max="11246" width="9.33203125" style="20"/>
    <col min="11247" max="11247" width="9.6640625" style="20" customWidth="1"/>
    <col min="11248" max="11248" width="58.1640625" style="20" customWidth="1"/>
    <col min="11249" max="11249" width="33.5" style="20" customWidth="1"/>
    <col min="11250" max="11250" width="22.1640625" style="20" customWidth="1"/>
    <col min="11251" max="11251" width="25.5" style="20" customWidth="1"/>
    <col min="11252" max="11252" width="56.33203125" style="20" customWidth="1"/>
    <col min="11253" max="11253" width="66.1640625" style="20" customWidth="1"/>
    <col min="11254" max="11259" width="11" style="20" customWidth="1"/>
    <col min="11260" max="11260" width="13.5" style="20" customWidth="1"/>
    <col min="11261" max="11261" width="9" style="20" customWidth="1"/>
    <col min="11262" max="11502" width="9.33203125" style="20"/>
    <col min="11503" max="11503" width="9.6640625" style="20" customWidth="1"/>
    <col min="11504" max="11504" width="58.1640625" style="20" customWidth="1"/>
    <col min="11505" max="11505" width="33.5" style="20" customWidth="1"/>
    <col min="11506" max="11506" width="22.1640625" style="20" customWidth="1"/>
    <col min="11507" max="11507" width="25.5" style="20" customWidth="1"/>
    <col min="11508" max="11508" width="56.33203125" style="20" customWidth="1"/>
    <col min="11509" max="11509" width="66.1640625" style="20" customWidth="1"/>
    <col min="11510" max="11515" width="11" style="20" customWidth="1"/>
    <col min="11516" max="11516" width="13.5" style="20" customWidth="1"/>
    <col min="11517" max="11517" width="9" style="20" customWidth="1"/>
    <col min="11518" max="11758" width="9.33203125" style="20"/>
    <col min="11759" max="11759" width="9.6640625" style="20" customWidth="1"/>
    <col min="11760" max="11760" width="58.1640625" style="20" customWidth="1"/>
    <col min="11761" max="11761" width="33.5" style="20" customWidth="1"/>
    <col min="11762" max="11762" width="22.1640625" style="20" customWidth="1"/>
    <col min="11763" max="11763" width="25.5" style="20" customWidth="1"/>
    <col min="11764" max="11764" width="56.33203125" style="20" customWidth="1"/>
    <col min="11765" max="11765" width="66.1640625" style="20" customWidth="1"/>
    <col min="11766" max="11771" width="11" style="20" customWidth="1"/>
    <col min="11772" max="11772" width="13.5" style="20" customWidth="1"/>
    <col min="11773" max="11773" width="9" style="20" customWidth="1"/>
    <col min="11774" max="12014" width="9.33203125" style="20"/>
    <col min="12015" max="12015" width="9.6640625" style="20" customWidth="1"/>
    <col min="12016" max="12016" width="58.1640625" style="20" customWidth="1"/>
    <col min="12017" max="12017" width="33.5" style="20" customWidth="1"/>
    <col min="12018" max="12018" width="22.1640625" style="20" customWidth="1"/>
    <col min="12019" max="12019" width="25.5" style="20" customWidth="1"/>
    <col min="12020" max="12020" width="56.33203125" style="20" customWidth="1"/>
    <col min="12021" max="12021" width="66.1640625" style="20" customWidth="1"/>
    <col min="12022" max="12027" width="11" style="20" customWidth="1"/>
    <col min="12028" max="12028" width="13.5" style="20" customWidth="1"/>
    <col min="12029" max="12029" width="9" style="20" customWidth="1"/>
    <col min="12030" max="12270" width="9.33203125" style="20"/>
    <col min="12271" max="12271" width="9.6640625" style="20" customWidth="1"/>
    <col min="12272" max="12272" width="58.1640625" style="20" customWidth="1"/>
    <col min="12273" max="12273" width="33.5" style="20" customWidth="1"/>
    <col min="12274" max="12274" width="22.1640625" style="20" customWidth="1"/>
    <col min="12275" max="12275" width="25.5" style="20" customWidth="1"/>
    <col min="12276" max="12276" width="56.33203125" style="20" customWidth="1"/>
    <col min="12277" max="12277" width="66.1640625" style="20" customWidth="1"/>
    <col min="12278" max="12283" width="11" style="20" customWidth="1"/>
    <col min="12284" max="12284" width="13.5" style="20" customWidth="1"/>
    <col min="12285" max="12285" width="9" style="20" customWidth="1"/>
    <col min="12286" max="12526" width="9.33203125" style="20"/>
    <col min="12527" max="12527" width="9.6640625" style="20" customWidth="1"/>
    <col min="12528" max="12528" width="58.1640625" style="20" customWidth="1"/>
    <col min="12529" max="12529" width="33.5" style="20" customWidth="1"/>
    <col min="12530" max="12530" width="22.1640625" style="20" customWidth="1"/>
    <col min="12531" max="12531" width="25.5" style="20" customWidth="1"/>
    <col min="12532" max="12532" width="56.33203125" style="20" customWidth="1"/>
    <col min="12533" max="12533" width="66.1640625" style="20" customWidth="1"/>
    <col min="12534" max="12539" width="11" style="20" customWidth="1"/>
    <col min="12540" max="12540" width="13.5" style="20" customWidth="1"/>
    <col min="12541" max="12541" width="9" style="20" customWidth="1"/>
    <col min="12542" max="12782" width="9.33203125" style="20"/>
    <col min="12783" max="12783" width="9.6640625" style="20" customWidth="1"/>
    <col min="12784" max="12784" width="58.1640625" style="20" customWidth="1"/>
    <col min="12785" max="12785" width="33.5" style="20" customWidth="1"/>
    <col min="12786" max="12786" width="22.1640625" style="20" customWidth="1"/>
    <col min="12787" max="12787" width="25.5" style="20" customWidth="1"/>
    <col min="12788" max="12788" width="56.33203125" style="20" customWidth="1"/>
    <col min="12789" max="12789" width="66.1640625" style="20" customWidth="1"/>
    <col min="12790" max="12795" width="11" style="20" customWidth="1"/>
    <col min="12796" max="12796" width="13.5" style="20" customWidth="1"/>
    <col min="12797" max="12797" width="9" style="20" customWidth="1"/>
    <col min="12798" max="13038" width="9.33203125" style="20"/>
    <col min="13039" max="13039" width="9.6640625" style="20" customWidth="1"/>
    <col min="13040" max="13040" width="58.1640625" style="20" customWidth="1"/>
    <col min="13041" max="13041" width="33.5" style="20" customWidth="1"/>
    <col min="13042" max="13042" width="22.1640625" style="20" customWidth="1"/>
    <col min="13043" max="13043" width="25.5" style="20" customWidth="1"/>
    <col min="13044" max="13044" width="56.33203125" style="20" customWidth="1"/>
    <col min="13045" max="13045" width="66.1640625" style="20" customWidth="1"/>
    <col min="13046" max="13051" width="11" style="20" customWidth="1"/>
    <col min="13052" max="13052" width="13.5" style="20" customWidth="1"/>
    <col min="13053" max="13053" width="9" style="20" customWidth="1"/>
    <col min="13054" max="13294" width="9.33203125" style="20"/>
    <col min="13295" max="13295" width="9.6640625" style="20" customWidth="1"/>
    <col min="13296" max="13296" width="58.1640625" style="20" customWidth="1"/>
    <col min="13297" max="13297" width="33.5" style="20" customWidth="1"/>
    <col min="13298" max="13298" width="22.1640625" style="20" customWidth="1"/>
    <col min="13299" max="13299" width="25.5" style="20" customWidth="1"/>
    <col min="13300" max="13300" width="56.33203125" style="20" customWidth="1"/>
    <col min="13301" max="13301" width="66.1640625" style="20" customWidth="1"/>
    <col min="13302" max="13307" width="11" style="20" customWidth="1"/>
    <col min="13308" max="13308" width="13.5" style="20" customWidth="1"/>
    <col min="13309" max="13309" width="9" style="20" customWidth="1"/>
    <col min="13310" max="13550" width="9.33203125" style="20"/>
    <col min="13551" max="13551" width="9.6640625" style="20" customWidth="1"/>
    <col min="13552" max="13552" width="58.1640625" style="20" customWidth="1"/>
    <col min="13553" max="13553" width="33.5" style="20" customWidth="1"/>
    <col min="13554" max="13554" width="22.1640625" style="20" customWidth="1"/>
    <col min="13555" max="13555" width="25.5" style="20" customWidth="1"/>
    <col min="13556" max="13556" width="56.33203125" style="20" customWidth="1"/>
    <col min="13557" max="13557" width="66.1640625" style="20" customWidth="1"/>
    <col min="13558" max="13563" width="11" style="20" customWidth="1"/>
    <col min="13564" max="13564" width="13.5" style="20" customWidth="1"/>
    <col min="13565" max="13565" width="9" style="20" customWidth="1"/>
    <col min="13566" max="13806" width="9.33203125" style="20"/>
    <col min="13807" max="13807" width="9.6640625" style="20" customWidth="1"/>
    <col min="13808" max="13808" width="58.1640625" style="20" customWidth="1"/>
    <col min="13809" max="13809" width="33.5" style="20" customWidth="1"/>
    <col min="13810" max="13810" width="22.1640625" style="20" customWidth="1"/>
    <col min="13811" max="13811" width="25.5" style="20" customWidth="1"/>
    <col min="13812" max="13812" width="56.33203125" style="20" customWidth="1"/>
    <col min="13813" max="13813" width="66.1640625" style="20" customWidth="1"/>
    <col min="13814" max="13819" width="11" style="20" customWidth="1"/>
    <col min="13820" max="13820" width="13.5" style="20" customWidth="1"/>
    <col min="13821" max="13821" width="9" style="20" customWidth="1"/>
    <col min="13822" max="14062" width="9.33203125" style="20"/>
    <col min="14063" max="14063" width="9.6640625" style="20" customWidth="1"/>
    <col min="14064" max="14064" width="58.1640625" style="20" customWidth="1"/>
    <col min="14065" max="14065" width="33.5" style="20" customWidth="1"/>
    <col min="14066" max="14066" width="22.1640625" style="20" customWidth="1"/>
    <col min="14067" max="14067" width="25.5" style="20" customWidth="1"/>
    <col min="14068" max="14068" width="56.33203125" style="20" customWidth="1"/>
    <col min="14069" max="14069" width="66.1640625" style="20" customWidth="1"/>
    <col min="14070" max="14075" width="11" style="20" customWidth="1"/>
    <col min="14076" max="14076" width="13.5" style="20" customWidth="1"/>
    <col min="14077" max="14077" width="9" style="20" customWidth="1"/>
    <col min="14078" max="14318" width="9.33203125" style="20"/>
    <col min="14319" max="14319" width="9.6640625" style="20" customWidth="1"/>
    <col min="14320" max="14320" width="58.1640625" style="20" customWidth="1"/>
    <col min="14321" max="14321" width="33.5" style="20" customWidth="1"/>
    <col min="14322" max="14322" width="22.1640625" style="20" customWidth="1"/>
    <col min="14323" max="14323" width="25.5" style="20" customWidth="1"/>
    <col min="14324" max="14324" width="56.33203125" style="20" customWidth="1"/>
    <col min="14325" max="14325" width="66.1640625" style="20" customWidth="1"/>
    <col min="14326" max="14331" width="11" style="20" customWidth="1"/>
    <col min="14332" max="14332" width="13.5" style="20" customWidth="1"/>
    <col min="14333" max="14333" width="9" style="20" customWidth="1"/>
    <col min="14334" max="14574" width="9.33203125" style="20"/>
    <col min="14575" max="14575" width="9.6640625" style="20" customWidth="1"/>
    <col min="14576" max="14576" width="58.1640625" style="20" customWidth="1"/>
    <col min="14577" max="14577" width="33.5" style="20" customWidth="1"/>
    <col min="14578" max="14578" width="22.1640625" style="20" customWidth="1"/>
    <col min="14579" max="14579" width="25.5" style="20" customWidth="1"/>
    <col min="14580" max="14580" width="56.33203125" style="20" customWidth="1"/>
    <col min="14581" max="14581" width="66.1640625" style="20" customWidth="1"/>
    <col min="14582" max="14587" width="11" style="20" customWidth="1"/>
    <col min="14588" max="14588" width="13.5" style="20" customWidth="1"/>
    <col min="14589" max="14589" width="9" style="20" customWidth="1"/>
    <col min="14590" max="14830" width="9.33203125" style="20"/>
    <col min="14831" max="14831" width="9.6640625" style="20" customWidth="1"/>
    <col min="14832" max="14832" width="58.1640625" style="20" customWidth="1"/>
    <col min="14833" max="14833" width="33.5" style="20" customWidth="1"/>
    <col min="14834" max="14834" width="22.1640625" style="20" customWidth="1"/>
    <col min="14835" max="14835" width="25.5" style="20" customWidth="1"/>
    <col min="14836" max="14836" width="56.33203125" style="20" customWidth="1"/>
    <col min="14837" max="14837" width="66.1640625" style="20" customWidth="1"/>
    <col min="14838" max="14843" width="11" style="20" customWidth="1"/>
    <col min="14844" max="14844" width="13.5" style="20" customWidth="1"/>
    <col min="14845" max="14845" width="9" style="20" customWidth="1"/>
    <col min="14846" max="15086" width="9.33203125" style="20"/>
    <col min="15087" max="15087" width="9.6640625" style="20" customWidth="1"/>
    <col min="15088" max="15088" width="58.1640625" style="20" customWidth="1"/>
    <col min="15089" max="15089" width="33.5" style="20" customWidth="1"/>
    <col min="15090" max="15090" width="22.1640625" style="20" customWidth="1"/>
    <col min="15091" max="15091" width="25.5" style="20" customWidth="1"/>
    <col min="15092" max="15092" width="56.33203125" style="20" customWidth="1"/>
    <col min="15093" max="15093" width="66.1640625" style="20" customWidth="1"/>
    <col min="15094" max="15099" width="11" style="20" customWidth="1"/>
    <col min="15100" max="15100" width="13.5" style="20" customWidth="1"/>
    <col min="15101" max="15101" width="9" style="20" customWidth="1"/>
    <col min="15102" max="15342" width="9.33203125" style="20"/>
    <col min="15343" max="15343" width="9.6640625" style="20" customWidth="1"/>
    <col min="15344" max="15344" width="58.1640625" style="20" customWidth="1"/>
    <col min="15345" max="15345" width="33.5" style="20" customWidth="1"/>
    <col min="15346" max="15346" width="22.1640625" style="20" customWidth="1"/>
    <col min="15347" max="15347" width="25.5" style="20" customWidth="1"/>
    <col min="15348" max="15348" width="56.33203125" style="20" customWidth="1"/>
    <col min="15349" max="15349" width="66.1640625" style="20" customWidth="1"/>
    <col min="15350" max="15355" width="11" style="20" customWidth="1"/>
    <col min="15356" max="15356" width="13.5" style="20" customWidth="1"/>
    <col min="15357" max="15357" width="9" style="20" customWidth="1"/>
    <col min="15358" max="15598" width="9.33203125" style="20"/>
    <col min="15599" max="15599" width="9.6640625" style="20" customWidth="1"/>
    <col min="15600" max="15600" width="58.1640625" style="20" customWidth="1"/>
    <col min="15601" max="15601" width="33.5" style="20" customWidth="1"/>
    <col min="15602" max="15602" width="22.1640625" style="20" customWidth="1"/>
    <col min="15603" max="15603" width="25.5" style="20" customWidth="1"/>
    <col min="15604" max="15604" width="56.33203125" style="20" customWidth="1"/>
    <col min="15605" max="15605" width="66.1640625" style="20" customWidth="1"/>
    <col min="15606" max="15611" width="11" style="20" customWidth="1"/>
    <col min="15612" max="15612" width="13.5" style="20" customWidth="1"/>
    <col min="15613" max="15613" width="9" style="20" customWidth="1"/>
    <col min="15614" max="15854" width="9.33203125" style="20"/>
    <col min="15855" max="15855" width="9.6640625" style="20" customWidth="1"/>
    <col min="15856" max="15856" width="58.1640625" style="20" customWidth="1"/>
    <col min="15857" max="15857" width="33.5" style="20" customWidth="1"/>
    <col min="15858" max="15858" width="22.1640625" style="20" customWidth="1"/>
    <col min="15859" max="15859" width="25.5" style="20" customWidth="1"/>
    <col min="15860" max="15860" width="56.33203125" style="20" customWidth="1"/>
    <col min="15861" max="15861" width="66.1640625" style="20" customWidth="1"/>
    <col min="15862" max="15867" width="11" style="20" customWidth="1"/>
    <col min="15868" max="15868" width="13.5" style="20" customWidth="1"/>
    <col min="15869" max="15869" width="9" style="20" customWidth="1"/>
    <col min="15870" max="16110" width="9.33203125" style="20"/>
    <col min="16111" max="16111" width="9.6640625" style="20" customWidth="1"/>
    <col min="16112" max="16112" width="58.1640625" style="20" customWidth="1"/>
    <col min="16113" max="16113" width="33.5" style="20" customWidth="1"/>
    <col min="16114" max="16114" width="22.1640625" style="20" customWidth="1"/>
    <col min="16115" max="16115" width="25.5" style="20" customWidth="1"/>
    <col min="16116" max="16116" width="56.33203125" style="20" customWidth="1"/>
    <col min="16117" max="16117" width="66.1640625" style="20" customWidth="1"/>
    <col min="16118" max="16123" width="11" style="20" customWidth="1"/>
    <col min="16124" max="16124" width="13.5" style="20" customWidth="1"/>
    <col min="16125" max="16125" width="9" style="20" customWidth="1"/>
    <col min="16126" max="16384" width="9.33203125" style="20"/>
  </cols>
  <sheetData>
    <row r="1" spans="1:26" s="18" customFormat="1" ht="22.5" customHeight="1">
      <c r="A1" s="19" t="s">
        <v>848</v>
      </c>
      <c r="B1" s="19"/>
      <c r="C1" s="19"/>
      <c r="D1" s="19"/>
      <c r="E1" s="19"/>
      <c r="F1" s="19"/>
      <c r="G1" s="19"/>
      <c r="H1" s="19"/>
      <c r="I1" s="19"/>
      <c r="J1" s="19"/>
      <c r="K1" s="19"/>
      <c r="L1" s="19"/>
      <c r="M1" s="19"/>
      <c r="N1" s="19"/>
      <c r="O1" s="19"/>
      <c r="P1" s="19"/>
      <c r="Q1" s="19"/>
      <c r="R1" s="19"/>
      <c r="S1" s="19"/>
      <c r="T1" s="19"/>
      <c r="U1" s="19"/>
      <c r="V1" s="19"/>
      <c r="W1" s="19"/>
      <c r="X1" s="616" t="s">
        <v>850</v>
      </c>
      <c r="Y1" s="616"/>
    </row>
    <row r="2" spans="1:26" s="19" customFormat="1" ht="24" customHeight="1">
      <c r="A2" s="667" t="s">
        <v>473</v>
      </c>
      <c r="B2" s="667"/>
      <c r="C2" s="667"/>
      <c r="D2" s="667"/>
      <c r="E2" s="667"/>
      <c r="F2" s="667"/>
      <c r="G2" s="667"/>
      <c r="H2" s="667"/>
      <c r="I2" s="667"/>
      <c r="J2" s="667"/>
      <c r="K2" s="667"/>
      <c r="L2" s="667"/>
      <c r="M2" s="667"/>
      <c r="N2" s="667"/>
      <c r="O2" s="667"/>
      <c r="P2" s="667"/>
      <c r="Q2" s="667"/>
      <c r="R2" s="667"/>
      <c r="S2" s="667"/>
      <c r="T2" s="667"/>
      <c r="U2" s="667"/>
      <c r="V2" s="667"/>
      <c r="W2" s="667"/>
      <c r="X2" s="667"/>
      <c r="Y2" s="667"/>
    </row>
    <row r="3" spans="1:26" ht="15" customHeight="1">
      <c r="R3" s="517"/>
    </row>
    <row r="4" spans="1:26" ht="21.75" customHeight="1">
      <c r="A4" s="26"/>
      <c r="B4" s="26"/>
      <c r="C4" s="219"/>
      <c r="D4" s="107"/>
      <c r="E4" s="26"/>
      <c r="F4" s="26"/>
      <c r="G4" s="27"/>
      <c r="H4" s="28"/>
      <c r="I4" s="26"/>
      <c r="J4" s="124"/>
      <c r="K4" s="124"/>
      <c r="L4" s="124"/>
      <c r="M4" s="124" t="s">
        <v>12</v>
      </c>
      <c r="N4" s="124"/>
      <c r="O4" s="124"/>
      <c r="P4" s="124"/>
      <c r="Q4" s="26"/>
      <c r="R4" s="365">
        <f>R11+'B4 CTMT SN'!E6</f>
        <v>192018.99879377778</v>
      </c>
      <c r="S4" s="26"/>
      <c r="T4" s="329"/>
      <c r="U4" s="526"/>
      <c r="V4" s="329"/>
      <c r="W4" s="566"/>
      <c r="X4" s="201" t="s">
        <v>12</v>
      </c>
      <c r="Y4" s="201"/>
      <c r="Z4" s="29"/>
    </row>
    <row r="5" spans="1:26" ht="34.5" customHeight="1">
      <c r="A5" s="646" t="s">
        <v>0</v>
      </c>
      <c r="B5" s="647" t="s">
        <v>71</v>
      </c>
      <c r="C5" s="648" t="s">
        <v>72</v>
      </c>
      <c r="D5" s="647" t="s">
        <v>153</v>
      </c>
      <c r="E5" s="651" t="s">
        <v>154</v>
      </c>
      <c r="F5" s="651" t="s">
        <v>155</v>
      </c>
      <c r="G5" s="670" t="s">
        <v>156</v>
      </c>
      <c r="H5" s="647" t="s">
        <v>157</v>
      </c>
      <c r="I5" s="647"/>
      <c r="J5" s="647"/>
      <c r="K5" s="658" t="s">
        <v>158</v>
      </c>
      <c r="L5" s="655"/>
      <c r="M5" s="658" t="s">
        <v>159</v>
      </c>
      <c r="N5" s="661"/>
      <c r="O5" s="661"/>
      <c r="P5" s="662"/>
      <c r="Q5" s="30" t="s">
        <v>160</v>
      </c>
      <c r="R5" s="654" t="s">
        <v>431</v>
      </c>
      <c r="S5" s="654"/>
      <c r="T5" s="655"/>
      <c r="U5" s="658" t="s">
        <v>847</v>
      </c>
      <c r="V5" s="654"/>
      <c r="W5" s="655"/>
      <c r="X5" s="647" t="s">
        <v>143</v>
      </c>
      <c r="Y5" s="647" t="s">
        <v>1</v>
      </c>
      <c r="Z5" s="29"/>
    </row>
    <row r="6" spans="1:26">
      <c r="A6" s="646"/>
      <c r="B6" s="647"/>
      <c r="C6" s="649"/>
      <c r="D6" s="647"/>
      <c r="E6" s="652"/>
      <c r="F6" s="652"/>
      <c r="G6" s="670"/>
      <c r="H6" s="660" t="s">
        <v>161</v>
      </c>
      <c r="I6" s="647" t="s">
        <v>162</v>
      </c>
      <c r="J6" s="647"/>
      <c r="K6" s="671"/>
      <c r="L6" s="672"/>
      <c r="M6" s="663"/>
      <c r="N6" s="664"/>
      <c r="O6" s="664"/>
      <c r="P6" s="665"/>
      <c r="Q6" s="31"/>
      <c r="R6" s="656"/>
      <c r="S6" s="656"/>
      <c r="T6" s="657"/>
      <c r="U6" s="659"/>
      <c r="V6" s="656"/>
      <c r="W6" s="657"/>
      <c r="X6" s="647"/>
      <c r="Y6" s="647"/>
      <c r="Z6" s="29"/>
    </row>
    <row r="7" spans="1:26">
      <c r="A7" s="646"/>
      <c r="B7" s="647"/>
      <c r="C7" s="649"/>
      <c r="D7" s="647"/>
      <c r="E7" s="652"/>
      <c r="F7" s="652"/>
      <c r="G7" s="670"/>
      <c r="H7" s="660"/>
      <c r="I7" s="651" t="s">
        <v>163</v>
      </c>
      <c r="J7" s="651" t="s">
        <v>164</v>
      </c>
      <c r="K7" s="647"/>
      <c r="L7" s="652"/>
      <c r="M7" s="647"/>
      <c r="N7" s="651" t="s">
        <v>35</v>
      </c>
      <c r="O7" s="647" t="s">
        <v>165</v>
      </c>
      <c r="P7" s="647"/>
      <c r="Q7" s="647"/>
      <c r="R7" s="651" t="s">
        <v>35</v>
      </c>
      <c r="S7" s="647" t="s">
        <v>165</v>
      </c>
      <c r="T7" s="647"/>
      <c r="U7" s="668" t="s">
        <v>35</v>
      </c>
      <c r="V7" s="647" t="s">
        <v>165</v>
      </c>
      <c r="W7" s="647"/>
      <c r="X7" s="647"/>
      <c r="Y7" s="647"/>
      <c r="Z7" s="32"/>
    </row>
    <row r="8" spans="1:26" ht="85.5" customHeight="1">
      <c r="A8" s="646"/>
      <c r="B8" s="647"/>
      <c r="C8" s="650"/>
      <c r="D8" s="647"/>
      <c r="E8" s="653"/>
      <c r="F8" s="653"/>
      <c r="G8" s="670"/>
      <c r="H8" s="660"/>
      <c r="I8" s="653"/>
      <c r="J8" s="653"/>
      <c r="K8" s="666"/>
      <c r="L8" s="653"/>
      <c r="M8" s="666"/>
      <c r="N8" s="653"/>
      <c r="O8" s="33" t="s">
        <v>166</v>
      </c>
      <c r="P8" s="33" t="s">
        <v>167</v>
      </c>
      <c r="Q8" s="666"/>
      <c r="R8" s="653"/>
      <c r="S8" s="34" t="s">
        <v>497</v>
      </c>
      <c r="T8" s="330" t="s">
        <v>496</v>
      </c>
      <c r="U8" s="669"/>
      <c r="V8" s="330" t="s">
        <v>497</v>
      </c>
      <c r="W8" s="567" t="s">
        <v>496</v>
      </c>
      <c r="X8" s="647"/>
      <c r="Y8" s="647"/>
      <c r="Z8" s="32"/>
    </row>
    <row r="9" spans="1:26" ht="16.5" customHeight="1">
      <c r="A9" s="35">
        <v>1</v>
      </c>
      <c r="B9" s="36">
        <v>2</v>
      </c>
      <c r="C9" s="37">
        <v>3</v>
      </c>
      <c r="D9" s="35">
        <v>4</v>
      </c>
      <c r="E9" s="35">
        <v>5</v>
      </c>
      <c r="F9" s="35">
        <v>6</v>
      </c>
      <c r="G9" s="37">
        <v>7</v>
      </c>
      <c r="H9" s="38">
        <v>6</v>
      </c>
      <c r="I9" s="36">
        <v>8</v>
      </c>
      <c r="J9" s="35">
        <v>9</v>
      </c>
      <c r="K9" s="36">
        <v>9</v>
      </c>
      <c r="L9" s="35">
        <v>10</v>
      </c>
      <c r="M9" s="36">
        <v>11</v>
      </c>
      <c r="N9" s="35">
        <v>12</v>
      </c>
      <c r="O9" s="36">
        <v>13</v>
      </c>
      <c r="P9" s="35">
        <v>14</v>
      </c>
      <c r="Q9" s="36">
        <v>15</v>
      </c>
      <c r="R9" s="35">
        <v>10</v>
      </c>
      <c r="S9" s="36">
        <v>11</v>
      </c>
      <c r="T9" s="203" t="s">
        <v>116</v>
      </c>
      <c r="U9" s="203" t="s">
        <v>117</v>
      </c>
      <c r="V9" s="559">
        <v>14</v>
      </c>
      <c r="W9" s="568">
        <v>15</v>
      </c>
      <c r="X9" s="35">
        <v>16</v>
      </c>
      <c r="Y9" s="35">
        <v>17</v>
      </c>
      <c r="Z9" s="32"/>
    </row>
    <row r="10" spans="1:26" ht="16.5" customHeight="1">
      <c r="A10" s="521"/>
      <c r="B10" s="522" t="s">
        <v>826</v>
      </c>
      <c r="C10" s="523"/>
      <c r="D10" s="524"/>
      <c r="E10" s="524"/>
      <c r="F10" s="524"/>
      <c r="G10" s="523"/>
      <c r="H10" s="525"/>
      <c r="I10" s="526">
        <f>I11+I130</f>
        <v>291938.52273319691</v>
      </c>
      <c r="J10" s="526">
        <f t="shared" ref="J10:V10" si="0">J11+J130</f>
        <v>260082.02248472444</v>
      </c>
      <c r="K10" s="526">
        <f t="shared" si="0"/>
        <v>191614.81085328889</v>
      </c>
      <c r="L10" s="526">
        <f t="shared" si="0"/>
        <v>63949.191699999996</v>
      </c>
      <c r="M10" s="526">
        <f t="shared" si="0"/>
        <v>291938.52273319691</v>
      </c>
      <c r="N10" s="526">
        <f t="shared" si="0"/>
        <v>260082.02248472444</v>
      </c>
      <c r="O10" s="526">
        <f t="shared" si="0"/>
        <v>0</v>
      </c>
      <c r="P10" s="526">
        <f t="shared" si="0"/>
        <v>0</v>
      </c>
      <c r="Q10" s="526">
        <f t="shared" si="0"/>
        <v>135836.82703831111</v>
      </c>
      <c r="R10" s="526">
        <f t="shared" si="0"/>
        <v>176904.3260577778</v>
      </c>
      <c r="S10" s="526">
        <f t="shared" si="0"/>
        <v>124891.99879377778</v>
      </c>
      <c r="T10" s="526">
        <f t="shared" si="0"/>
        <v>52012.327264000014</v>
      </c>
      <c r="U10" s="526">
        <f>U11+U130</f>
        <v>35703.808460999993</v>
      </c>
      <c r="V10" s="560">
        <f t="shared" si="0"/>
        <v>23011.564620999998</v>
      </c>
      <c r="W10" s="569">
        <f>W11+W130</f>
        <v>12692.233839999997</v>
      </c>
      <c r="X10" s="527">
        <f>U10/R10*100</f>
        <v>20.182552488478411</v>
      </c>
      <c r="Y10" s="524"/>
      <c r="Z10" s="32"/>
    </row>
    <row r="11" spans="1:26" ht="28.5" customHeight="1">
      <c r="A11" s="267" t="s">
        <v>145</v>
      </c>
      <c r="B11" s="364" t="s">
        <v>498</v>
      </c>
      <c r="C11" s="268"/>
      <c r="D11" s="269"/>
      <c r="E11" s="269"/>
      <c r="F11" s="269"/>
      <c r="G11" s="270"/>
      <c r="H11" s="271"/>
      <c r="I11" s="272">
        <f>I12+I32+I62</f>
        <v>291938.52273319691</v>
      </c>
      <c r="J11" s="272">
        <f t="shared" ref="J11:Y11" si="1">J12+J32+J62</f>
        <v>260082.02248472444</v>
      </c>
      <c r="K11" s="272">
        <f t="shared" si="1"/>
        <v>191614.81085328889</v>
      </c>
      <c r="L11" s="272">
        <f t="shared" si="1"/>
        <v>63949.191699999996</v>
      </c>
      <c r="M11" s="272">
        <f t="shared" si="1"/>
        <v>291938.52273319691</v>
      </c>
      <c r="N11" s="272">
        <f t="shared" si="1"/>
        <v>260082.02248472444</v>
      </c>
      <c r="O11" s="272">
        <f t="shared" si="1"/>
        <v>0</v>
      </c>
      <c r="P11" s="272">
        <f t="shared" si="1"/>
        <v>0</v>
      </c>
      <c r="Q11" s="272">
        <f t="shared" si="1"/>
        <v>135836.82703831111</v>
      </c>
      <c r="R11" s="272">
        <f t="shared" si="1"/>
        <v>124891.99879377778</v>
      </c>
      <c r="S11" s="272">
        <f t="shared" si="1"/>
        <v>124891.99879377778</v>
      </c>
      <c r="T11" s="272">
        <f t="shared" si="1"/>
        <v>0</v>
      </c>
      <c r="U11" s="272">
        <f>U12+U32+U62</f>
        <v>23011.564620999998</v>
      </c>
      <c r="V11" s="561">
        <f t="shared" si="1"/>
        <v>23011.564620999998</v>
      </c>
      <c r="W11" s="570">
        <f t="shared" si="1"/>
        <v>0</v>
      </c>
      <c r="X11" s="363">
        <f>U11/R11*100</f>
        <v>18.425171222535077</v>
      </c>
      <c r="Y11" s="272">
        <f t="shared" si="1"/>
        <v>0</v>
      </c>
      <c r="Z11" s="29"/>
    </row>
    <row r="12" spans="1:26" ht="39.75" customHeight="1">
      <c r="A12" s="131" t="s">
        <v>3</v>
      </c>
      <c r="B12" s="132" t="s">
        <v>836</v>
      </c>
      <c r="C12" s="133"/>
      <c r="D12" s="131"/>
      <c r="E12" s="131"/>
      <c r="F12" s="131"/>
      <c r="G12" s="133"/>
      <c r="H12" s="134"/>
      <c r="I12" s="135">
        <f t="shared" ref="I12:T12" si="2">SUM(I13:I31)</f>
        <v>11000</v>
      </c>
      <c r="J12" s="135">
        <f t="shared" si="2"/>
        <v>10000</v>
      </c>
      <c r="K12" s="135">
        <f t="shared" si="2"/>
        <v>0</v>
      </c>
      <c r="L12" s="135">
        <f t="shared" si="2"/>
        <v>0</v>
      </c>
      <c r="M12" s="135">
        <f t="shared" si="2"/>
        <v>11000</v>
      </c>
      <c r="N12" s="135">
        <f t="shared" si="2"/>
        <v>10000</v>
      </c>
      <c r="O12" s="135">
        <f t="shared" si="2"/>
        <v>0</v>
      </c>
      <c r="P12" s="135">
        <f t="shared" si="2"/>
        <v>0</v>
      </c>
      <c r="Q12" s="135">
        <f t="shared" si="2"/>
        <v>11000</v>
      </c>
      <c r="R12" s="135">
        <f t="shared" si="2"/>
        <v>10000</v>
      </c>
      <c r="S12" s="135">
        <f t="shared" ref="S12" si="3">SUM(S13:S31)</f>
        <v>10000</v>
      </c>
      <c r="T12" s="136">
        <f t="shared" si="2"/>
        <v>0</v>
      </c>
      <c r="U12" s="136"/>
      <c r="V12" s="136"/>
      <c r="W12" s="571"/>
      <c r="X12" s="136"/>
      <c r="Y12" s="135">
        <f>SUM(Y13:Y31)</f>
        <v>0</v>
      </c>
      <c r="Z12" s="29"/>
    </row>
    <row r="13" spans="1:26" ht="45" customHeight="1">
      <c r="A13" s="39" t="s">
        <v>36</v>
      </c>
      <c r="B13" s="40" t="s">
        <v>168</v>
      </c>
      <c r="C13" s="643" t="s">
        <v>131</v>
      </c>
      <c r="D13" s="42" t="s">
        <v>169</v>
      </c>
      <c r="E13" s="43">
        <v>8000957</v>
      </c>
      <c r="F13" s="43">
        <v>280.29199999999997</v>
      </c>
      <c r="G13" s="44">
        <v>2023</v>
      </c>
      <c r="H13" s="45" t="s">
        <v>170</v>
      </c>
      <c r="I13" s="46">
        <f>J13*10%+J13</f>
        <v>935</v>
      </c>
      <c r="J13" s="46">
        <v>850</v>
      </c>
      <c r="K13" s="47"/>
      <c r="L13" s="47"/>
      <c r="M13" s="46">
        <f>N13*10%+N13</f>
        <v>935</v>
      </c>
      <c r="N13" s="46">
        <v>850</v>
      </c>
      <c r="O13" s="47"/>
      <c r="P13" s="47"/>
      <c r="Q13" s="46">
        <f>R13*10%+R13</f>
        <v>935</v>
      </c>
      <c r="R13" s="46">
        <f>S13+T13</f>
        <v>850</v>
      </c>
      <c r="S13" s="46">
        <v>850</v>
      </c>
      <c r="T13" s="128"/>
      <c r="U13" s="128">
        <f>V13+W13</f>
        <v>0</v>
      </c>
      <c r="V13" s="128"/>
      <c r="W13" s="123"/>
      <c r="X13" s="128"/>
      <c r="Y13" s="42"/>
      <c r="Z13" s="29"/>
    </row>
    <row r="14" spans="1:26" ht="36">
      <c r="A14" s="39" t="s">
        <v>57</v>
      </c>
      <c r="B14" s="48" t="s">
        <v>171</v>
      </c>
      <c r="C14" s="644"/>
      <c r="D14" s="42" t="s">
        <v>169</v>
      </c>
      <c r="E14" s="43">
        <v>8000956</v>
      </c>
      <c r="F14" s="43">
        <v>280.29199999999997</v>
      </c>
      <c r="G14" s="44">
        <v>2023</v>
      </c>
      <c r="H14" s="45" t="s">
        <v>172</v>
      </c>
      <c r="I14" s="46">
        <f t="shared" ref="I14:I31" si="4">J14*10%+J14</f>
        <v>880</v>
      </c>
      <c r="J14" s="46">
        <v>800</v>
      </c>
      <c r="K14" s="47"/>
      <c r="L14" s="47"/>
      <c r="M14" s="46">
        <f t="shared" ref="M14:M31" si="5">N14*10%+N14</f>
        <v>880</v>
      </c>
      <c r="N14" s="46">
        <v>800</v>
      </c>
      <c r="O14" s="47"/>
      <c r="P14" s="47"/>
      <c r="Q14" s="46">
        <f t="shared" ref="Q14:Q31" si="6">R14*10%+R14</f>
        <v>880</v>
      </c>
      <c r="R14" s="46">
        <f t="shared" ref="R14:R31" si="7">S14+T14</f>
        <v>800</v>
      </c>
      <c r="S14" s="46">
        <v>800</v>
      </c>
      <c r="T14" s="128"/>
      <c r="U14" s="128">
        <f t="shared" ref="U14:U31" si="8">V14+W14</f>
        <v>0</v>
      </c>
      <c r="V14" s="128"/>
      <c r="W14" s="123"/>
      <c r="X14" s="128"/>
      <c r="Y14" s="42"/>
      <c r="Z14" s="29"/>
    </row>
    <row r="15" spans="1:26" ht="19.5" customHeight="1">
      <c r="A15" s="39" t="s">
        <v>58</v>
      </c>
      <c r="B15" s="48" t="s">
        <v>173</v>
      </c>
      <c r="C15" s="644"/>
      <c r="D15" s="42" t="s">
        <v>169</v>
      </c>
      <c r="E15" s="43">
        <v>8003899</v>
      </c>
      <c r="F15" s="43">
        <v>280.29199999999997</v>
      </c>
      <c r="G15" s="44">
        <v>2023</v>
      </c>
      <c r="H15" s="45" t="s">
        <v>174</v>
      </c>
      <c r="I15" s="46">
        <f t="shared" si="4"/>
        <v>550</v>
      </c>
      <c r="J15" s="46">
        <v>500</v>
      </c>
      <c r="K15" s="47"/>
      <c r="L15" s="47"/>
      <c r="M15" s="46">
        <f t="shared" si="5"/>
        <v>550</v>
      </c>
      <c r="N15" s="46">
        <v>500</v>
      </c>
      <c r="O15" s="47"/>
      <c r="P15" s="47"/>
      <c r="Q15" s="46">
        <f t="shared" si="6"/>
        <v>550</v>
      </c>
      <c r="R15" s="46">
        <f t="shared" si="7"/>
        <v>500</v>
      </c>
      <c r="S15" s="46">
        <v>500</v>
      </c>
      <c r="T15" s="128"/>
      <c r="U15" s="128">
        <f t="shared" si="8"/>
        <v>0</v>
      </c>
      <c r="V15" s="128"/>
      <c r="W15" s="123"/>
      <c r="X15" s="128"/>
      <c r="Y15" s="42"/>
      <c r="Z15" s="29"/>
    </row>
    <row r="16" spans="1:26" ht="19.5" customHeight="1">
      <c r="A16" s="39" t="s">
        <v>59</v>
      </c>
      <c r="B16" s="48" t="s">
        <v>175</v>
      </c>
      <c r="C16" s="644"/>
      <c r="D16" s="42" t="s">
        <v>169</v>
      </c>
      <c r="E16" s="43">
        <v>8002514</v>
      </c>
      <c r="F16" s="43">
        <v>280.29199999999997</v>
      </c>
      <c r="G16" s="44">
        <v>2023</v>
      </c>
      <c r="H16" s="45" t="s">
        <v>176</v>
      </c>
      <c r="I16" s="46">
        <f t="shared" si="4"/>
        <v>220</v>
      </c>
      <c r="J16" s="46">
        <v>200</v>
      </c>
      <c r="K16" s="47"/>
      <c r="L16" s="47"/>
      <c r="M16" s="46">
        <f t="shared" si="5"/>
        <v>220</v>
      </c>
      <c r="N16" s="46">
        <v>200</v>
      </c>
      <c r="O16" s="47"/>
      <c r="P16" s="47"/>
      <c r="Q16" s="46">
        <f t="shared" si="6"/>
        <v>220</v>
      </c>
      <c r="R16" s="46">
        <f t="shared" si="7"/>
        <v>200</v>
      </c>
      <c r="S16" s="46">
        <v>200</v>
      </c>
      <c r="T16" s="128"/>
      <c r="U16" s="128">
        <f t="shared" si="8"/>
        <v>0</v>
      </c>
      <c r="V16" s="128"/>
      <c r="W16" s="123"/>
      <c r="X16" s="128"/>
      <c r="Y16" s="42"/>
      <c r="Z16" s="29"/>
    </row>
    <row r="17" spans="1:26" ht="19.5" customHeight="1">
      <c r="A17" s="39" t="s">
        <v>60</v>
      </c>
      <c r="B17" s="40" t="s">
        <v>177</v>
      </c>
      <c r="C17" s="644"/>
      <c r="D17" s="42" t="s">
        <v>169</v>
      </c>
      <c r="E17" s="43">
        <v>8000927</v>
      </c>
      <c r="F17" s="43">
        <v>280.33800000000002</v>
      </c>
      <c r="G17" s="44">
        <v>2023</v>
      </c>
      <c r="H17" s="45" t="s">
        <v>178</v>
      </c>
      <c r="I17" s="46">
        <f t="shared" si="4"/>
        <v>55</v>
      </c>
      <c r="J17" s="46">
        <v>50</v>
      </c>
      <c r="K17" s="47"/>
      <c r="L17" s="47"/>
      <c r="M17" s="46">
        <f t="shared" si="5"/>
        <v>55</v>
      </c>
      <c r="N17" s="46">
        <v>50</v>
      </c>
      <c r="O17" s="47"/>
      <c r="P17" s="47"/>
      <c r="Q17" s="46">
        <f t="shared" si="6"/>
        <v>55</v>
      </c>
      <c r="R17" s="46">
        <f t="shared" si="7"/>
        <v>50</v>
      </c>
      <c r="S17" s="46">
        <v>50</v>
      </c>
      <c r="T17" s="128"/>
      <c r="U17" s="128">
        <f t="shared" si="8"/>
        <v>0</v>
      </c>
      <c r="V17" s="128"/>
      <c r="W17" s="123"/>
      <c r="X17" s="128"/>
      <c r="Y17" s="42"/>
      <c r="Z17" s="29"/>
    </row>
    <row r="18" spans="1:26" ht="19.5" customHeight="1">
      <c r="A18" s="39" t="s">
        <v>110</v>
      </c>
      <c r="B18" s="40" t="s">
        <v>179</v>
      </c>
      <c r="C18" s="644"/>
      <c r="D18" s="42" t="s">
        <v>169</v>
      </c>
      <c r="E18" s="43">
        <v>8000926</v>
      </c>
      <c r="F18" s="43">
        <v>280.33800000000002</v>
      </c>
      <c r="G18" s="44">
        <v>2023</v>
      </c>
      <c r="H18" s="45" t="s">
        <v>180</v>
      </c>
      <c r="I18" s="46">
        <f t="shared" si="4"/>
        <v>55</v>
      </c>
      <c r="J18" s="46">
        <v>50</v>
      </c>
      <c r="K18" s="47"/>
      <c r="L18" s="47"/>
      <c r="M18" s="46">
        <f t="shared" si="5"/>
        <v>55</v>
      </c>
      <c r="N18" s="46">
        <v>50</v>
      </c>
      <c r="O18" s="47"/>
      <c r="P18" s="47"/>
      <c r="Q18" s="46">
        <f t="shared" si="6"/>
        <v>55</v>
      </c>
      <c r="R18" s="46">
        <f t="shared" si="7"/>
        <v>50</v>
      </c>
      <c r="S18" s="46">
        <v>50</v>
      </c>
      <c r="T18" s="128"/>
      <c r="U18" s="128">
        <f t="shared" si="8"/>
        <v>0</v>
      </c>
      <c r="V18" s="128"/>
      <c r="W18" s="123"/>
      <c r="X18" s="128"/>
      <c r="Y18" s="42"/>
      <c r="Z18" s="29"/>
    </row>
    <row r="19" spans="1:26" ht="19.5" customHeight="1">
      <c r="A19" s="39" t="s">
        <v>111</v>
      </c>
      <c r="B19" s="40" t="s">
        <v>181</v>
      </c>
      <c r="C19" s="644"/>
      <c r="D19" s="42" t="s">
        <v>169</v>
      </c>
      <c r="E19" s="43">
        <v>8000942</v>
      </c>
      <c r="F19" s="43">
        <v>280.33800000000002</v>
      </c>
      <c r="G19" s="44">
        <v>2023</v>
      </c>
      <c r="H19" s="45" t="s">
        <v>182</v>
      </c>
      <c r="I19" s="46">
        <f t="shared" si="4"/>
        <v>55</v>
      </c>
      <c r="J19" s="46">
        <v>50</v>
      </c>
      <c r="K19" s="47"/>
      <c r="L19" s="47"/>
      <c r="M19" s="46">
        <f t="shared" si="5"/>
        <v>55</v>
      </c>
      <c r="N19" s="46">
        <v>50</v>
      </c>
      <c r="O19" s="47"/>
      <c r="P19" s="47"/>
      <c r="Q19" s="46">
        <f t="shared" si="6"/>
        <v>55</v>
      </c>
      <c r="R19" s="46">
        <f t="shared" si="7"/>
        <v>50</v>
      </c>
      <c r="S19" s="46">
        <v>50</v>
      </c>
      <c r="T19" s="128"/>
      <c r="U19" s="128">
        <f t="shared" si="8"/>
        <v>0</v>
      </c>
      <c r="V19" s="128"/>
      <c r="W19" s="123"/>
      <c r="X19" s="128"/>
      <c r="Y19" s="42"/>
      <c r="Z19" s="29"/>
    </row>
    <row r="20" spans="1:26" ht="19.5" customHeight="1">
      <c r="A20" s="39" t="s">
        <v>112</v>
      </c>
      <c r="B20" s="40" t="s">
        <v>183</v>
      </c>
      <c r="C20" s="644"/>
      <c r="D20" s="42" t="s">
        <v>169</v>
      </c>
      <c r="E20" s="43">
        <v>8000909</v>
      </c>
      <c r="F20" s="43">
        <v>280.33800000000002</v>
      </c>
      <c r="G20" s="44">
        <v>2023</v>
      </c>
      <c r="H20" s="45" t="s">
        <v>184</v>
      </c>
      <c r="I20" s="46">
        <f t="shared" si="4"/>
        <v>55</v>
      </c>
      <c r="J20" s="46">
        <v>50</v>
      </c>
      <c r="K20" s="47"/>
      <c r="L20" s="47"/>
      <c r="M20" s="46">
        <f t="shared" si="5"/>
        <v>55</v>
      </c>
      <c r="N20" s="46">
        <v>50</v>
      </c>
      <c r="O20" s="47"/>
      <c r="P20" s="47"/>
      <c r="Q20" s="46">
        <f t="shared" si="6"/>
        <v>55</v>
      </c>
      <c r="R20" s="46">
        <f t="shared" si="7"/>
        <v>50</v>
      </c>
      <c r="S20" s="46">
        <v>50</v>
      </c>
      <c r="T20" s="128"/>
      <c r="U20" s="128">
        <f t="shared" si="8"/>
        <v>0</v>
      </c>
      <c r="V20" s="128"/>
      <c r="W20" s="123"/>
      <c r="X20" s="128"/>
      <c r="Y20" s="42"/>
      <c r="Z20" s="29"/>
    </row>
    <row r="21" spans="1:26" ht="19.5" customHeight="1">
      <c r="A21" s="39" t="s">
        <v>113</v>
      </c>
      <c r="B21" s="40" t="s">
        <v>185</v>
      </c>
      <c r="C21" s="644"/>
      <c r="D21" s="42" t="s">
        <v>169</v>
      </c>
      <c r="E21" s="43">
        <v>8000908</v>
      </c>
      <c r="F21" s="43">
        <v>280.33800000000002</v>
      </c>
      <c r="G21" s="44">
        <v>2023</v>
      </c>
      <c r="H21" s="45" t="s">
        <v>186</v>
      </c>
      <c r="I21" s="46">
        <f t="shared" si="4"/>
        <v>55</v>
      </c>
      <c r="J21" s="46">
        <v>50</v>
      </c>
      <c r="K21" s="49"/>
      <c r="L21" s="49"/>
      <c r="M21" s="46">
        <f t="shared" si="5"/>
        <v>55</v>
      </c>
      <c r="N21" s="46">
        <v>50</v>
      </c>
      <c r="O21" s="49"/>
      <c r="P21" s="49"/>
      <c r="Q21" s="46">
        <f t="shared" si="6"/>
        <v>55</v>
      </c>
      <c r="R21" s="46">
        <f t="shared" si="7"/>
        <v>50</v>
      </c>
      <c r="S21" s="46">
        <v>50</v>
      </c>
      <c r="T21" s="114"/>
      <c r="U21" s="128">
        <f t="shared" si="8"/>
        <v>0</v>
      </c>
      <c r="V21" s="114"/>
      <c r="W21" s="572"/>
      <c r="X21" s="114"/>
      <c r="Y21" s="50"/>
      <c r="Z21" s="32"/>
    </row>
    <row r="22" spans="1:26" ht="19.5" customHeight="1">
      <c r="A22" s="39" t="s">
        <v>114</v>
      </c>
      <c r="B22" s="40" t="s">
        <v>187</v>
      </c>
      <c r="C22" s="644"/>
      <c r="D22" s="42" t="s">
        <v>169</v>
      </c>
      <c r="E22" s="43">
        <v>8000907</v>
      </c>
      <c r="F22" s="43">
        <v>280.33800000000002</v>
      </c>
      <c r="G22" s="44">
        <v>2023</v>
      </c>
      <c r="H22" s="45" t="s">
        <v>188</v>
      </c>
      <c r="I22" s="46">
        <f t="shared" si="4"/>
        <v>55</v>
      </c>
      <c r="J22" s="46">
        <v>50</v>
      </c>
      <c r="K22" s="47"/>
      <c r="L22" s="47"/>
      <c r="M22" s="46">
        <f t="shared" si="5"/>
        <v>55</v>
      </c>
      <c r="N22" s="46">
        <v>50</v>
      </c>
      <c r="O22" s="47"/>
      <c r="P22" s="47"/>
      <c r="Q22" s="46">
        <f t="shared" si="6"/>
        <v>55</v>
      </c>
      <c r="R22" s="46">
        <f t="shared" si="7"/>
        <v>50</v>
      </c>
      <c r="S22" s="46">
        <v>50</v>
      </c>
      <c r="T22" s="128"/>
      <c r="U22" s="128">
        <f t="shared" si="8"/>
        <v>0</v>
      </c>
      <c r="V22" s="128"/>
      <c r="W22" s="123"/>
      <c r="X22" s="128"/>
      <c r="Y22" s="42"/>
      <c r="Z22" s="29"/>
    </row>
    <row r="23" spans="1:26" ht="19.5" customHeight="1">
      <c r="A23" s="39" t="s">
        <v>115</v>
      </c>
      <c r="B23" s="40" t="s">
        <v>189</v>
      </c>
      <c r="C23" s="644"/>
      <c r="D23" s="42" t="s">
        <v>169</v>
      </c>
      <c r="E23" s="43">
        <v>8000906</v>
      </c>
      <c r="F23" s="43">
        <v>280.33800000000002</v>
      </c>
      <c r="G23" s="44">
        <v>2023</v>
      </c>
      <c r="H23" s="45" t="s">
        <v>190</v>
      </c>
      <c r="I23" s="46">
        <f t="shared" si="4"/>
        <v>55</v>
      </c>
      <c r="J23" s="46">
        <v>50</v>
      </c>
      <c r="K23" s="47"/>
      <c r="L23" s="47"/>
      <c r="M23" s="46">
        <f t="shared" si="5"/>
        <v>55</v>
      </c>
      <c r="N23" s="46">
        <v>50</v>
      </c>
      <c r="O23" s="47"/>
      <c r="P23" s="47"/>
      <c r="Q23" s="46">
        <f t="shared" si="6"/>
        <v>55</v>
      </c>
      <c r="R23" s="46">
        <f t="shared" si="7"/>
        <v>50</v>
      </c>
      <c r="S23" s="46">
        <v>50</v>
      </c>
      <c r="T23" s="128"/>
      <c r="U23" s="128">
        <f t="shared" si="8"/>
        <v>0</v>
      </c>
      <c r="V23" s="128"/>
      <c r="W23" s="123"/>
      <c r="X23" s="128"/>
      <c r="Y23" s="42"/>
      <c r="Z23" s="29"/>
    </row>
    <row r="24" spans="1:26" ht="19.5" customHeight="1">
      <c r="A24" s="39" t="s">
        <v>116</v>
      </c>
      <c r="B24" s="40" t="s">
        <v>191</v>
      </c>
      <c r="C24" s="644"/>
      <c r="D24" s="42" t="s">
        <v>169</v>
      </c>
      <c r="E24" s="43">
        <v>8000905</v>
      </c>
      <c r="F24" s="43">
        <v>280.33800000000002</v>
      </c>
      <c r="G24" s="44">
        <v>2023</v>
      </c>
      <c r="H24" s="45" t="s">
        <v>192</v>
      </c>
      <c r="I24" s="46">
        <f t="shared" si="4"/>
        <v>55</v>
      </c>
      <c r="J24" s="46">
        <v>50</v>
      </c>
      <c r="K24" s="49"/>
      <c r="L24" s="49"/>
      <c r="M24" s="46">
        <f t="shared" si="5"/>
        <v>55</v>
      </c>
      <c r="N24" s="46">
        <v>50</v>
      </c>
      <c r="O24" s="49"/>
      <c r="P24" s="49"/>
      <c r="Q24" s="46">
        <f t="shared" si="6"/>
        <v>55</v>
      </c>
      <c r="R24" s="46">
        <f t="shared" si="7"/>
        <v>50</v>
      </c>
      <c r="S24" s="46">
        <v>50</v>
      </c>
      <c r="T24" s="114"/>
      <c r="U24" s="128">
        <f t="shared" si="8"/>
        <v>0</v>
      </c>
      <c r="V24" s="114"/>
      <c r="W24" s="572"/>
      <c r="X24" s="114"/>
      <c r="Y24" s="50"/>
      <c r="Z24" s="32"/>
    </row>
    <row r="25" spans="1:26" ht="36">
      <c r="A25" s="39" t="s">
        <v>117</v>
      </c>
      <c r="B25" s="40" t="s">
        <v>193</v>
      </c>
      <c r="C25" s="644"/>
      <c r="D25" s="42" t="s">
        <v>169</v>
      </c>
      <c r="E25" s="43">
        <v>8000904</v>
      </c>
      <c r="F25" s="43" t="s">
        <v>194</v>
      </c>
      <c r="G25" s="44">
        <v>2023</v>
      </c>
      <c r="H25" s="45" t="s">
        <v>195</v>
      </c>
      <c r="I25" s="46">
        <f t="shared" si="4"/>
        <v>660</v>
      </c>
      <c r="J25" s="46">
        <v>600</v>
      </c>
      <c r="K25" s="47"/>
      <c r="L25" s="47"/>
      <c r="M25" s="46">
        <f t="shared" si="5"/>
        <v>660</v>
      </c>
      <c r="N25" s="46">
        <v>600</v>
      </c>
      <c r="O25" s="47"/>
      <c r="P25" s="47"/>
      <c r="Q25" s="46">
        <f t="shared" si="6"/>
        <v>660</v>
      </c>
      <c r="R25" s="46">
        <f t="shared" si="7"/>
        <v>600</v>
      </c>
      <c r="S25" s="46">
        <v>600</v>
      </c>
      <c r="T25" s="128"/>
      <c r="U25" s="128">
        <f t="shared" si="8"/>
        <v>0</v>
      </c>
      <c r="V25" s="128"/>
      <c r="W25" s="123"/>
      <c r="X25" s="128"/>
      <c r="Y25" s="42"/>
      <c r="Z25" s="29"/>
    </row>
    <row r="26" spans="1:26" ht="36">
      <c r="A26" s="39" t="s">
        <v>119</v>
      </c>
      <c r="B26" s="40" t="s">
        <v>196</v>
      </c>
      <c r="C26" s="644"/>
      <c r="D26" s="42" t="s">
        <v>169</v>
      </c>
      <c r="E26" s="43">
        <v>8000903</v>
      </c>
      <c r="F26" s="43" t="s">
        <v>197</v>
      </c>
      <c r="G26" s="44">
        <v>2023</v>
      </c>
      <c r="H26" s="45" t="s">
        <v>198</v>
      </c>
      <c r="I26" s="46">
        <f t="shared" si="4"/>
        <v>880</v>
      </c>
      <c r="J26" s="46">
        <v>800</v>
      </c>
      <c r="K26" s="47"/>
      <c r="L26" s="47"/>
      <c r="M26" s="46">
        <f t="shared" si="5"/>
        <v>880</v>
      </c>
      <c r="N26" s="46">
        <v>800</v>
      </c>
      <c r="O26" s="47"/>
      <c r="P26" s="47"/>
      <c r="Q26" s="46">
        <f t="shared" si="6"/>
        <v>880</v>
      </c>
      <c r="R26" s="46">
        <f t="shared" si="7"/>
        <v>800</v>
      </c>
      <c r="S26" s="46">
        <v>800</v>
      </c>
      <c r="T26" s="128"/>
      <c r="U26" s="128">
        <f t="shared" si="8"/>
        <v>0</v>
      </c>
      <c r="V26" s="128"/>
      <c r="W26" s="123"/>
      <c r="X26" s="128"/>
      <c r="Y26" s="42"/>
      <c r="Z26" s="29"/>
    </row>
    <row r="27" spans="1:26" ht="36">
      <c r="A27" s="39" t="s">
        <v>120</v>
      </c>
      <c r="B27" s="40" t="s">
        <v>199</v>
      </c>
      <c r="C27" s="645"/>
      <c r="D27" s="42" t="s">
        <v>169</v>
      </c>
      <c r="E27" s="43">
        <v>8000912</v>
      </c>
      <c r="F27" s="43" t="s">
        <v>200</v>
      </c>
      <c r="G27" s="44">
        <v>2023</v>
      </c>
      <c r="H27" s="45" t="s">
        <v>201</v>
      </c>
      <c r="I27" s="46">
        <f t="shared" si="4"/>
        <v>1100</v>
      </c>
      <c r="J27" s="46">
        <v>1000</v>
      </c>
      <c r="K27" s="47"/>
      <c r="L27" s="47"/>
      <c r="M27" s="46">
        <f t="shared" si="5"/>
        <v>1100</v>
      </c>
      <c r="N27" s="46">
        <v>1000</v>
      </c>
      <c r="O27" s="47"/>
      <c r="P27" s="47"/>
      <c r="Q27" s="46">
        <f t="shared" si="6"/>
        <v>1100</v>
      </c>
      <c r="R27" s="46">
        <f t="shared" si="7"/>
        <v>1000</v>
      </c>
      <c r="S27" s="46">
        <v>1000</v>
      </c>
      <c r="T27" s="128"/>
      <c r="U27" s="128">
        <f t="shared" si="8"/>
        <v>0</v>
      </c>
      <c r="V27" s="128"/>
      <c r="W27" s="123"/>
      <c r="X27" s="128"/>
      <c r="Y27" s="42"/>
      <c r="Z27" s="29"/>
    </row>
    <row r="28" spans="1:26" ht="42.75" customHeight="1">
      <c r="A28" s="39" t="s">
        <v>121</v>
      </c>
      <c r="B28" s="51" t="s">
        <v>203</v>
      </c>
      <c r="C28" s="643" t="s">
        <v>151</v>
      </c>
      <c r="D28" s="42" t="s">
        <v>137</v>
      </c>
      <c r="E28" s="42"/>
      <c r="F28" s="42"/>
      <c r="G28" s="52">
        <v>2023</v>
      </c>
      <c r="H28" s="53"/>
      <c r="I28" s="46">
        <f t="shared" si="4"/>
        <v>2200</v>
      </c>
      <c r="J28" s="46">
        <v>2000</v>
      </c>
      <c r="K28" s="47"/>
      <c r="L28" s="47"/>
      <c r="M28" s="46">
        <f t="shared" si="5"/>
        <v>2200</v>
      </c>
      <c r="N28" s="46">
        <v>2000</v>
      </c>
      <c r="O28" s="47"/>
      <c r="P28" s="47"/>
      <c r="Q28" s="46">
        <f t="shared" si="6"/>
        <v>2200</v>
      </c>
      <c r="R28" s="46">
        <f t="shared" si="7"/>
        <v>2000</v>
      </c>
      <c r="S28" s="46">
        <v>2000</v>
      </c>
      <c r="T28" s="128"/>
      <c r="U28" s="128">
        <f t="shared" si="8"/>
        <v>0</v>
      </c>
      <c r="V28" s="128"/>
      <c r="W28" s="123"/>
      <c r="X28" s="128"/>
      <c r="Y28" s="42"/>
      <c r="Z28" s="29"/>
    </row>
    <row r="29" spans="1:26" ht="41.25" customHeight="1">
      <c r="A29" s="39" t="s">
        <v>122</v>
      </c>
      <c r="B29" s="51" t="s">
        <v>204</v>
      </c>
      <c r="C29" s="645"/>
      <c r="D29" s="42" t="s">
        <v>137</v>
      </c>
      <c r="E29" s="42"/>
      <c r="F29" s="42"/>
      <c r="G29" s="52">
        <v>2023</v>
      </c>
      <c r="H29" s="53"/>
      <c r="I29" s="46">
        <f t="shared" si="4"/>
        <v>2200</v>
      </c>
      <c r="J29" s="46">
        <v>2000</v>
      </c>
      <c r="K29" s="47"/>
      <c r="L29" s="47"/>
      <c r="M29" s="46">
        <f t="shared" si="5"/>
        <v>2200</v>
      </c>
      <c r="N29" s="46">
        <v>2000</v>
      </c>
      <c r="O29" s="47"/>
      <c r="P29" s="47"/>
      <c r="Q29" s="46">
        <f t="shared" si="6"/>
        <v>2200</v>
      </c>
      <c r="R29" s="46">
        <f t="shared" si="7"/>
        <v>2000</v>
      </c>
      <c r="S29" s="46">
        <v>2000</v>
      </c>
      <c r="T29" s="128"/>
      <c r="U29" s="128">
        <f t="shared" si="8"/>
        <v>0</v>
      </c>
      <c r="V29" s="128"/>
      <c r="W29" s="123"/>
      <c r="X29" s="128"/>
      <c r="Y29" s="42"/>
      <c r="Z29" s="29"/>
    </row>
    <row r="30" spans="1:26" ht="45" customHeight="1">
      <c r="A30" s="39" t="s">
        <v>125</v>
      </c>
      <c r="B30" s="51" t="s">
        <v>202</v>
      </c>
      <c r="C30" s="643" t="s">
        <v>136</v>
      </c>
      <c r="D30" s="42" t="s">
        <v>137</v>
      </c>
      <c r="E30" s="42"/>
      <c r="F30" s="42"/>
      <c r="G30" s="52">
        <v>2023</v>
      </c>
      <c r="H30" s="53"/>
      <c r="I30" s="46">
        <f t="shared" ref="I30" si="9">J30*10%+J30</f>
        <v>880</v>
      </c>
      <c r="J30" s="46">
        <v>800</v>
      </c>
      <c r="K30" s="47"/>
      <c r="L30" s="47"/>
      <c r="M30" s="46">
        <f t="shared" ref="M30" si="10">N30*10%+N30</f>
        <v>880</v>
      </c>
      <c r="N30" s="46">
        <v>800</v>
      </c>
      <c r="O30" s="47"/>
      <c r="P30" s="47"/>
      <c r="Q30" s="46">
        <f t="shared" ref="Q30" si="11">R30*10%+R30</f>
        <v>880</v>
      </c>
      <c r="R30" s="46">
        <f t="shared" si="7"/>
        <v>800</v>
      </c>
      <c r="S30" s="46">
        <v>800</v>
      </c>
      <c r="T30" s="128"/>
      <c r="U30" s="128">
        <f t="shared" si="8"/>
        <v>0</v>
      </c>
      <c r="V30" s="128"/>
      <c r="W30" s="123"/>
      <c r="X30" s="128"/>
      <c r="Y30" s="42"/>
      <c r="Z30" s="29"/>
    </row>
    <row r="31" spans="1:26" ht="22.5" customHeight="1">
      <c r="A31" s="39" t="s">
        <v>126</v>
      </c>
      <c r="B31" s="51" t="s">
        <v>205</v>
      </c>
      <c r="C31" s="645"/>
      <c r="D31" s="42" t="s">
        <v>137</v>
      </c>
      <c r="E31" s="42"/>
      <c r="F31" s="42"/>
      <c r="G31" s="52">
        <v>2023</v>
      </c>
      <c r="H31" s="53"/>
      <c r="I31" s="46">
        <f t="shared" si="4"/>
        <v>55</v>
      </c>
      <c r="J31" s="46">
        <v>50</v>
      </c>
      <c r="K31" s="47"/>
      <c r="L31" s="47"/>
      <c r="M31" s="46">
        <f t="shared" si="5"/>
        <v>55</v>
      </c>
      <c r="N31" s="46">
        <v>50</v>
      </c>
      <c r="O31" s="47"/>
      <c r="P31" s="47"/>
      <c r="Q31" s="46">
        <f t="shared" si="6"/>
        <v>55</v>
      </c>
      <c r="R31" s="46">
        <f t="shared" si="7"/>
        <v>50</v>
      </c>
      <c r="S31" s="46">
        <v>50</v>
      </c>
      <c r="T31" s="128"/>
      <c r="U31" s="128">
        <f t="shared" si="8"/>
        <v>0</v>
      </c>
      <c r="V31" s="128"/>
      <c r="W31" s="123"/>
      <c r="X31" s="128"/>
      <c r="Y31" s="42"/>
      <c r="Z31" s="29"/>
    </row>
    <row r="32" spans="1:26" ht="31.5">
      <c r="A32" s="131" t="s">
        <v>5</v>
      </c>
      <c r="B32" s="132" t="s">
        <v>206</v>
      </c>
      <c r="C32" s="133"/>
      <c r="D32" s="131"/>
      <c r="E32" s="131"/>
      <c r="F32" s="131"/>
      <c r="G32" s="133"/>
      <c r="H32" s="134"/>
      <c r="I32" s="135">
        <f>I33+I40</f>
        <v>73261</v>
      </c>
      <c r="J32" s="135">
        <f t="shared" ref="J32:R32" si="12">J33+J40</f>
        <v>61278</v>
      </c>
      <c r="K32" s="135">
        <f t="shared" si="12"/>
        <v>25277</v>
      </c>
      <c r="L32" s="135">
        <f t="shared" si="12"/>
        <v>14654</v>
      </c>
      <c r="M32" s="135">
        <f t="shared" si="12"/>
        <v>73261</v>
      </c>
      <c r="N32" s="135">
        <f t="shared" si="12"/>
        <v>61278</v>
      </c>
      <c r="O32" s="135">
        <f t="shared" si="12"/>
        <v>0</v>
      </c>
      <c r="P32" s="135">
        <f t="shared" si="12"/>
        <v>0</v>
      </c>
      <c r="Q32" s="135">
        <f t="shared" si="12"/>
        <v>51181.5</v>
      </c>
      <c r="R32" s="135">
        <f t="shared" si="12"/>
        <v>42218</v>
      </c>
      <c r="S32" s="135">
        <f>S33+S40</f>
        <v>42218</v>
      </c>
      <c r="T32" s="135">
        <f t="shared" ref="T32:W32" si="13">T33+T40</f>
        <v>0</v>
      </c>
      <c r="U32" s="135">
        <f t="shared" si="13"/>
        <v>2324.0810000000001</v>
      </c>
      <c r="V32" s="136">
        <f t="shared" si="13"/>
        <v>2324.0810000000001</v>
      </c>
      <c r="W32" s="571">
        <f t="shared" si="13"/>
        <v>0</v>
      </c>
      <c r="X32" s="136">
        <f t="shared" ref="X32:X40" si="14">U32/R32*100</f>
        <v>5.5049528637074232</v>
      </c>
      <c r="Y32" s="135">
        <f>R32-42218</f>
        <v>0</v>
      </c>
      <c r="Z32" s="32"/>
    </row>
    <row r="33" spans="1:26">
      <c r="A33" s="50">
        <v>1</v>
      </c>
      <c r="B33" s="54" t="s">
        <v>207</v>
      </c>
      <c r="C33" s="55"/>
      <c r="D33" s="50"/>
      <c r="E33" s="50"/>
      <c r="F33" s="50"/>
      <c r="G33" s="55"/>
      <c r="H33" s="56"/>
      <c r="I33" s="57">
        <f>SUM(I34:I38)</f>
        <v>25277</v>
      </c>
      <c r="J33" s="57">
        <f t="shared" ref="J33:P33" si="15">SUM(J34:J38)</f>
        <v>22925</v>
      </c>
      <c r="K33" s="57">
        <f t="shared" si="15"/>
        <v>25277</v>
      </c>
      <c r="L33" s="57">
        <f t="shared" si="15"/>
        <v>14654</v>
      </c>
      <c r="M33" s="57">
        <f t="shared" si="15"/>
        <v>25277</v>
      </c>
      <c r="N33" s="57">
        <f t="shared" si="15"/>
        <v>22925</v>
      </c>
      <c r="O33" s="57">
        <f t="shared" si="15"/>
        <v>0</v>
      </c>
      <c r="P33" s="57">
        <f t="shared" si="15"/>
        <v>0</v>
      </c>
      <c r="Q33" s="57">
        <f>SUM(Q34:Q39)</f>
        <v>9371</v>
      </c>
      <c r="R33" s="57">
        <f>SUM(R34:R39)</f>
        <v>9371</v>
      </c>
      <c r="S33" s="57">
        <f>SUM(S34:S39)</f>
        <v>9371</v>
      </c>
      <c r="T33" s="57">
        <f t="shared" ref="T33:W33" si="16">SUM(T34:T39)</f>
        <v>0</v>
      </c>
      <c r="U33" s="57">
        <f t="shared" si="16"/>
        <v>0</v>
      </c>
      <c r="V33" s="90">
        <f t="shared" si="16"/>
        <v>0</v>
      </c>
      <c r="W33" s="573">
        <f t="shared" si="16"/>
        <v>0</v>
      </c>
      <c r="X33" s="130">
        <f t="shared" si="14"/>
        <v>0</v>
      </c>
      <c r="Y33" s="57"/>
      <c r="Z33" s="32"/>
    </row>
    <row r="34" spans="1:26" ht="36">
      <c r="A34" s="39" t="s">
        <v>74</v>
      </c>
      <c r="B34" s="58" t="s">
        <v>54</v>
      </c>
      <c r="C34" s="632" t="s">
        <v>67</v>
      </c>
      <c r="D34" s="60" t="s">
        <v>63</v>
      </c>
      <c r="E34" s="61">
        <v>8002505</v>
      </c>
      <c r="F34" s="61" t="s">
        <v>208</v>
      </c>
      <c r="G34" s="41" t="s">
        <v>90</v>
      </c>
      <c r="H34" s="45" t="s">
        <v>209</v>
      </c>
      <c r="I34" s="62">
        <v>4389</v>
      </c>
      <c r="J34" s="62">
        <v>3990</v>
      </c>
      <c r="K34" s="62">
        <v>4389</v>
      </c>
      <c r="L34" s="62">
        <v>2240</v>
      </c>
      <c r="M34" s="62">
        <v>4389</v>
      </c>
      <c r="N34" s="62">
        <v>3990</v>
      </c>
      <c r="O34" s="47"/>
      <c r="P34" s="47"/>
      <c r="Q34" s="62">
        <f>R34</f>
        <v>1750</v>
      </c>
      <c r="R34" s="46">
        <f>S34+T34</f>
        <v>1750</v>
      </c>
      <c r="S34" s="62">
        <v>1750</v>
      </c>
      <c r="T34" s="128"/>
      <c r="U34" s="128">
        <f t="shared" ref="U34:U97" si="17">V34+W34</f>
        <v>0</v>
      </c>
      <c r="V34" s="128"/>
      <c r="W34" s="123"/>
      <c r="X34" s="130">
        <f t="shared" si="14"/>
        <v>0</v>
      </c>
      <c r="Y34" s="47"/>
      <c r="Z34" s="29"/>
    </row>
    <row r="35" spans="1:26" ht="36">
      <c r="A35" s="39" t="s">
        <v>80</v>
      </c>
      <c r="B35" s="58" t="s">
        <v>118</v>
      </c>
      <c r="C35" s="642"/>
      <c r="D35" s="60" t="s">
        <v>63</v>
      </c>
      <c r="E35" s="61">
        <v>8003893</v>
      </c>
      <c r="F35" s="61" t="s">
        <v>208</v>
      </c>
      <c r="G35" s="41" t="s">
        <v>90</v>
      </c>
      <c r="H35" s="45" t="s">
        <v>210</v>
      </c>
      <c r="I35" s="62">
        <v>7158</v>
      </c>
      <c r="J35" s="62">
        <v>6422</v>
      </c>
      <c r="K35" s="62">
        <v>7158</v>
      </c>
      <c r="L35" s="62">
        <v>1460</v>
      </c>
      <c r="M35" s="62">
        <v>7158</v>
      </c>
      <c r="N35" s="62">
        <v>6422</v>
      </c>
      <c r="O35" s="47"/>
      <c r="P35" s="47"/>
      <c r="Q35" s="62">
        <f t="shared" ref="Q35:Q39" si="18">R35</f>
        <v>4962</v>
      </c>
      <c r="R35" s="46">
        <f t="shared" ref="R35:R61" si="19">S35+T35</f>
        <v>4962</v>
      </c>
      <c r="S35" s="62">
        <v>4962</v>
      </c>
      <c r="T35" s="128"/>
      <c r="U35" s="128">
        <f t="shared" si="17"/>
        <v>0</v>
      </c>
      <c r="V35" s="128"/>
      <c r="W35" s="123"/>
      <c r="X35" s="130">
        <f t="shared" si="14"/>
        <v>0</v>
      </c>
      <c r="Y35" s="47"/>
      <c r="Z35" s="29"/>
    </row>
    <row r="36" spans="1:26" ht="36">
      <c r="A36" s="39" t="s">
        <v>211</v>
      </c>
      <c r="B36" s="58" t="s">
        <v>56</v>
      </c>
      <c r="C36" s="642"/>
      <c r="D36" s="65" t="s">
        <v>20</v>
      </c>
      <c r="E36" s="61">
        <v>7972586</v>
      </c>
      <c r="F36" s="63" t="s">
        <v>194</v>
      </c>
      <c r="G36" s="41" t="s">
        <v>90</v>
      </c>
      <c r="H36" s="45" t="s">
        <v>212</v>
      </c>
      <c r="I36" s="62">
        <v>1430</v>
      </c>
      <c r="J36" s="62">
        <v>1300</v>
      </c>
      <c r="K36" s="62">
        <v>1430</v>
      </c>
      <c r="L36" s="62">
        <v>1100</v>
      </c>
      <c r="M36" s="62">
        <v>1430</v>
      </c>
      <c r="N36" s="62">
        <v>1300</v>
      </c>
      <c r="O36" s="49"/>
      <c r="P36" s="49"/>
      <c r="Q36" s="62">
        <f t="shared" si="18"/>
        <v>200</v>
      </c>
      <c r="R36" s="46">
        <f t="shared" si="19"/>
        <v>200</v>
      </c>
      <c r="S36" s="62">
        <v>200</v>
      </c>
      <c r="T36" s="114"/>
      <c r="U36" s="128">
        <f t="shared" si="17"/>
        <v>0</v>
      </c>
      <c r="V36" s="114"/>
      <c r="W36" s="572"/>
      <c r="X36" s="130">
        <f t="shared" si="14"/>
        <v>0</v>
      </c>
      <c r="Y36" s="49"/>
      <c r="Z36" s="32"/>
    </row>
    <row r="37" spans="1:26" ht="36">
      <c r="A37" s="39" t="s">
        <v>84</v>
      </c>
      <c r="B37" s="58" t="s">
        <v>55</v>
      </c>
      <c r="C37" s="642"/>
      <c r="D37" s="65" t="s">
        <v>130</v>
      </c>
      <c r="E37" s="61">
        <v>7972271</v>
      </c>
      <c r="F37" s="63" t="s">
        <v>194</v>
      </c>
      <c r="G37" s="41" t="s">
        <v>90</v>
      </c>
      <c r="H37" s="45" t="s">
        <v>213</v>
      </c>
      <c r="I37" s="62">
        <v>7900</v>
      </c>
      <c r="J37" s="62">
        <v>7213</v>
      </c>
      <c r="K37" s="62">
        <v>7900</v>
      </c>
      <c r="L37" s="62">
        <v>6354</v>
      </c>
      <c r="M37" s="62">
        <v>7900</v>
      </c>
      <c r="N37" s="62">
        <v>7213</v>
      </c>
      <c r="O37" s="47"/>
      <c r="P37" s="47"/>
      <c r="Q37" s="62">
        <f t="shared" si="18"/>
        <v>859</v>
      </c>
      <c r="R37" s="46">
        <f t="shared" si="19"/>
        <v>859</v>
      </c>
      <c r="S37" s="62">
        <v>859</v>
      </c>
      <c r="T37" s="128"/>
      <c r="U37" s="128">
        <f t="shared" si="17"/>
        <v>0</v>
      </c>
      <c r="V37" s="128"/>
      <c r="W37" s="123"/>
      <c r="X37" s="130">
        <f t="shared" si="14"/>
        <v>0</v>
      </c>
      <c r="Y37" s="47"/>
      <c r="Z37" s="29"/>
    </row>
    <row r="38" spans="1:26" ht="36">
      <c r="A38" s="39" t="s">
        <v>214</v>
      </c>
      <c r="B38" s="64" t="s">
        <v>53</v>
      </c>
      <c r="C38" s="633"/>
      <c r="D38" s="60" t="s">
        <v>66</v>
      </c>
      <c r="E38" s="61">
        <v>7970452</v>
      </c>
      <c r="F38" s="61" t="s">
        <v>194</v>
      </c>
      <c r="G38" s="41" t="s">
        <v>90</v>
      </c>
      <c r="H38" s="45" t="s">
        <v>215</v>
      </c>
      <c r="I38" s="62">
        <v>4400</v>
      </c>
      <c r="J38" s="62">
        <v>4000</v>
      </c>
      <c r="K38" s="62">
        <v>4400</v>
      </c>
      <c r="L38" s="62">
        <v>3500</v>
      </c>
      <c r="M38" s="62">
        <v>4400</v>
      </c>
      <c r="N38" s="62">
        <v>4000</v>
      </c>
      <c r="O38" s="47"/>
      <c r="P38" s="47"/>
      <c r="Q38" s="62">
        <f t="shared" si="18"/>
        <v>500</v>
      </c>
      <c r="R38" s="46">
        <f t="shared" si="19"/>
        <v>500</v>
      </c>
      <c r="S38" s="62">
        <v>500</v>
      </c>
      <c r="T38" s="128"/>
      <c r="U38" s="128">
        <f t="shared" si="17"/>
        <v>0</v>
      </c>
      <c r="V38" s="128"/>
      <c r="W38" s="123"/>
      <c r="X38" s="130">
        <f t="shared" si="14"/>
        <v>0</v>
      </c>
      <c r="Y38" s="47"/>
      <c r="Z38" s="29"/>
    </row>
    <row r="39" spans="1:26" ht="45">
      <c r="A39" s="39" t="s">
        <v>216</v>
      </c>
      <c r="B39" s="64" t="s">
        <v>61</v>
      </c>
      <c r="C39" s="59" t="s">
        <v>129</v>
      </c>
      <c r="D39" s="65" t="s">
        <v>130</v>
      </c>
      <c r="E39" s="65">
        <v>7983410</v>
      </c>
      <c r="F39" s="65">
        <v>280.29199999999997</v>
      </c>
      <c r="G39" s="59" t="s">
        <v>94</v>
      </c>
      <c r="H39" s="66" t="s">
        <v>217</v>
      </c>
      <c r="I39" s="67">
        <v>4978.7999999999993</v>
      </c>
      <c r="J39" s="67">
        <v>4149</v>
      </c>
      <c r="K39" s="67">
        <v>4978.7999999999993</v>
      </c>
      <c r="L39" s="67">
        <v>1072</v>
      </c>
      <c r="M39" s="67">
        <v>4978.7999999999993</v>
      </c>
      <c r="N39" s="67">
        <v>4149</v>
      </c>
      <c r="O39" s="47"/>
      <c r="P39" s="47"/>
      <c r="Q39" s="62">
        <f t="shared" si="18"/>
        <v>1100</v>
      </c>
      <c r="R39" s="46">
        <f t="shared" si="19"/>
        <v>1100</v>
      </c>
      <c r="S39" s="67">
        <v>1100</v>
      </c>
      <c r="T39" s="128"/>
      <c r="U39" s="128">
        <f t="shared" si="17"/>
        <v>0</v>
      </c>
      <c r="V39" s="128"/>
      <c r="W39" s="123"/>
      <c r="X39" s="130">
        <f t="shared" si="14"/>
        <v>0</v>
      </c>
      <c r="Y39" s="47"/>
      <c r="Z39" s="29"/>
    </row>
    <row r="40" spans="1:26">
      <c r="A40" s="68">
        <v>2</v>
      </c>
      <c r="B40" s="69" t="s">
        <v>218</v>
      </c>
      <c r="C40" s="70"/>
      <c r="D40" s="71"/>
      <c r="E40" s="71"/>
      <c r="F40" s="71"/>
      <c r="G40" s="70"/>
      <c r="H40" s="56"/>
      <c r="I40" s="72">
        <f>SUM(I41:I61)</f>
        <v>47984</v>
      </c>
      <c r="J40" s="72">
        <f t="shared" ref="J40:P40" si="20">SUM(J41:J61)</f>
        <v>38353</v>
      </c>
      <c r="K40" s="72">
        <f t="shared" si="20"/>
        <v>0</v>
      </c>
      <c r="L40" s="72">
        <f t="shared" si="20"/>
        <v>0</v>
      </c>
      <c r="M40" s="72">
        <f t="shared" si="20"/>
        <v>47984</v>
      </c>
      <c r="N40" s="72">
        <f t="shared" si="20"/>
        <v>38353</v>
      </c>
      <c r="O40" s="72">
        <f t="shared" si="20"/>
        <v>0</v>
      </c>
      <c r="P40" s="72">
        <f t="shared" si="20"/>
        <v>0</v>
      </c>
      <c r="Q40" s="72">
        <f>SUM(Q41:Q61)</f>
        <v>41810.5</v>
      </c>
      <c r="R40" s="72">
        <f>SUM(R41:R61)</f>
        <v>32847</v>
      </c>
      <c r="S40" s="72">
        <f>SUM(S41:S61)</f>
        <v>32847</v>
      </c>
      <c r="T40" s="72">
        <f t="shared" ref="T40:W40" si="21">SUM(T41:T61)</f>
        <v>0</v>
      </c>
      <c r="U40" s="72">
        <f>SUM(U41:U61)</f>
        <v>2324.0810000000001</v>
      </c>
      <c r="V40" s="562">
        <f t="shared" si="21"/>
        <v>2324.0810000000001</v>
      </c>
      <c r="W40" s="574">
        <f t="shared" si="21"/>
        <v>0</v>
      </c>
      <c r="X40" s="130">
        <f t="shared" si="14"/>
        <v>7.0754741681127653</v>
      </c>
      <c r="Y40" s="50"/>
      <c r="Z40" s="73"/>
    </row>
    <row r="41" spans="1:26" ht="21" customHeight="1">
      <c r="A41" s="39" t="s">
        <v>91</v>
      </c>
      <c r="B41" s="74" t="s">
        <v>219</v>
      </c>
      <c r="C41" s="632" t="s">
        <v>67</v>
      </c>
      <c r="D41" s="65" t="s">
        <v>52</v>
      </c>
      <c r="E41" s="63">
        <v>8002502</v>
      </c>
      <c r="F41" s="63" t="s">
        <v>200</v>
      </c>
      <c r="G41" s="41">
        <v>2023</v>
      </c>
      <c r="H41" s="45" t="s">
        <v>220</v>
      </c>
      <c r="I41" s="62">
        <v>2640</v>
      </c>
      <c r="J41" s="62">
        <v>2400</v>
      </c>
      <c r="K41" s="47"/>
      <c r="L41" s="47"/>
      <c r="M41" s="62">
        <v>2640</v>
      </c>
      <c r="N41" s="62">
        <v>2400</v>
      </c>
      <c r="O41" s="47"/>
      <c r="P41" s="47"/>
      <c r="Q41" s="62">
        <v>2640</v>
      </c>
      <c r="R41" s="46">
        <f t="shared" si="19"/>
        <v>2400</v>
      </c>
      <c r="S41" s="62">
        <v>2400</v>
      </c>
      <c r="T41" s="128"/>
      <c r="U41" s="128">
        <f t="shared" si="17"/>
        <v>248.15900000000002</v>
      </c>
      <c r="V41" s="128">
        <f>3.887+231.352+5.227+7.693</f>
        <v>248.15900000000002</v>
      </c>
      <c r="W41" s="123"/>
      <c r="X41" s="130">
        <f t="shared" ref="X41" si="22">U41/R41*100</f>
        <v>10.339958333333334</v>
      </c>
      <c r="Y41" s="42"/>
      <c r="Z41" s="29"/>
    </row>
    <row r="42" spans="1:26" ht="21" customHeight="1">
      <c r="A42" s="39" t="s">
        <v>92</v>
      </c>
      <c r="B42" s="74" t="s">
        <v>221</v>
      </c>
      <c r="C42" s="642"/>
      <c r="D42" s="60" t="s">
        <v>65</v>
      </c>
      <c r="E42" s="61">
        <v>8002504</v>
      </c>
      <c r="F42" s="63" t="s">
        <v>208</v>
      </c>
      <c r="G42" s="41">
        <v>2023</v>
      </c>
      <c r="H42" s="45" t="s">
        <v>222</v>
      </c>
      <c r="I42" s="62">
        <v>3157</v>
      </c>
      <c r="J42" s="62">
        <v>2870</v>
      </c>
      <c r="K42" s="49"/>
      <c r="L42" s="49"/>
      <c r="M42" s="62">
        <v>3157</v>
      </c>
      <c r="N42" s="62">
        <v>2870</v>
      </c>
      <c r="O42" s="49"/>
      <c r="P42" s="49"/>
      <c r="Q42" s="62">
        <v>3157</v>
      </c>
      <c r="R42" s="46">
        <f t="shared" si="19"/>
        <v>2870</v>
      </c>
      <c r="S42" s="62">
        <v>2870</v>
      </c>
      <c r="T42" s="114"/>
      <c r="U42" s="128">
        <f t="shared" si="17"/>
        <v>0</v>
      </c>
      <c r="V42" s="114"/>
      <c r="W42" s="572"/>
      <c r="X42" s="114"/>
      <c r="Y42" s="50"/>
      <c r="Z42" s="32"/>
    </row>
    <row r="43" spans="1:26" ht="21" customHeight="1">
      <c r="A43" s="39" t="s">
        <v>95</v>
      </c>
      <c r="B43" s="64" t="s">
        <v>223</v>
      </c>
      <c r="C43" s="642"/>
      <c r="D43" s="60" t="s">
        <v>66</v>
      </c>
      <c r="E43" s="61">
        <v>8002506</v>
      </c>
      <c r="F43" s="63" t="s">
        <v>194</v>
      </c>
      <c r="G43" s="41">
        <v>2023</v>
      </c>
      <c r="H43" s="45" t="s">
        <v>224</v>
      </c>
      <c r="I43" s="62">
        <v>5670</v>
      </c>
      <c r="J43" s="62">
        <v>5153</v>
      </c>
      <c r="K43" s="47"/>
      <c r="L43" s="47"/>
      <c r="M43" s="62">
        <v>5670</v>
      </c>
      <c r="N43" s="62">
        <v>5153</v>
      </c>
      <c r="O43" s="47"/>
      <c r="P43" s="47"/>
      <c r="Q43" s="62">
        <f>R43+(R43*10%)</f>
        <v>821.7</v>
      </c>
      <c r="R43" s="46">
        <f t="shared" si="19"/>
        <v>747</v>
      </c>
      <c r="S43" s="62">
        <f>5153-4406</f>
        <v>747</v>
      </c>
      <c r="T43" s="128"/>
      <c r="U43" s="128">
        <f t="shared" si="17"/>
        <v>576.67999999999995</v>
      </c>
      <c r="V43" s="128">
        <v>576.67999999999995</v>
      </c>
      <c r="W43" s="123"/>
      <c r="X43" s="130">
        <f t="shared" ref="X43:X49" si="23">U43/R43*100</f>
        <v>77.19946452476573</v>
      </c>
      <c r="Y43" s="42"/>
      <c r="Z43" s="29"/>
    </row>
    <row r="44" spans="1:26" ht="21" customHeight="1">
      <c r="A44" s="39" t="s">
        <v>225</v>
      </c>
      <c r="B44" s="74" t="s">
        <v>226</v>
      </c>
      <c r="C44" s="642"/>
      <c r="D44" s="65" t="s">
        <v>42</v>
      </c>
      <c r="E44" s="61">
        <v>8002501</v>
      </c>
      <c r="F44" s="63" t="s">
        <v>208</v>
      </c>
      <c r="G44" s="41">
        <v>2023</v>
      </c>
      <c r="H44" s="45" t="s">
        <v>227</v>
      </c>
      <c r="I44" s="62">
        <v>2310</v>
      </c>
      <c r="J44" s="62">
        <v>2100</v>
      </c>
      <c r="K44" s="47"/>
      <c r="L44" s="47"/>
      <c r="M44" s="62">
        <v>2310</v>
      </c>
      <c r="N44" s="62">
        <v>2100</v>
      </c>
      <c r="O44" s="47"/>
      <c r="P44" s="47"/>
      <c r="Q44" s="62">
        <v>2310</v>
      </c>
      <c r="R44" s="46">
        <f t="shared" si="19"/>
        <v>2100</v>
      </c>
      <c r="S44" s="62">
        <v>2100</v>
      </c>
      <c r="T44" s="128"/>
      <c r="U44" s="128">
        <f t="shared" si="17"/>
        <v>0</v>
      </c>
      <c r="V44" s="128"/>
      <c r="W44" s="123"/>
      <c r="X44" s="130">
        <f t="shared" si="23"/>
        <v>0</v>
      </c>
      <c r="Y44" s="42"/>
      <c r="Z44" s="29"/>
    </row>
    <row r="45" spans="1:26" ht="21" customHeight="1">
      <c r="A45" s="39" t="s">
        <v>228</v>
      </c>
      <c r="B45" s="75" t="s">
        <v>229</v>
      </c>
      <c r="C45" s="642"/>
      <c r="D45" s="65" t="s">
        <v>63</v>
      </c>
      <c r="E45" s="61">
        <v>8002499</v>
      </c>
      <c r="F45" s="63" t="s">
        <v>230</v>
      </c>
      <c r="G45" s="41">
        <v>2023</v>
      </c>
      <c r="H45" s="45" t="s">
        <v>231</v>
      </c>
      <c r="I45" s="62">
        <v>3837</v>
      </c>
      <c r="J45" s="62">
        <v>3488</v>
      </c>
      <c r="K45" s="47"/>
      <c r="L45" s="47"/>
      <c r="M45" s="62">
        <v>3837</v>
      </c>
      <c r="N45" s="62">
        <v>3488</v>
      </c>
      <c r="O45" s="47"/>
      <c r="P45" s="47"/>
      <c r="Q45" s="62">
        <f>R45+(R45*10%)</f>
        <v>3286.8</v>
      </c>
      <c r="R45" s="46">
        <f t="shared" si="19"/>
        <v>2988</v>
      </c>
      <c r="S45" s="62">
        <f>3488-500</f>
        <v>2988</v>
      </c>
      <c r="T45" s="128"/>
      <c r="U45" s="128">
        <f t="shared" si="17"/>
        <v>0</v>
      </c>
      <c r="V45" s="128"/>
      <c r="W45" s="123"/>
      <c r="X45" s="130">
        <f t="shared" si="23"/>
        <v>0</v>
      </c>
      <c r="Y45" s="42"/>
      <c r="Z45" s="29"/>
    </row>
    <row r="46" spans="1:26" ht="21" customHeight="1">
      <c r="A46" s="39" t="s">
        <v>232</v>
      </c>
      <c r="B46" s="76" t="s">
        <v>233</v>
      </c>
      <c r="C46" s="633"/>
      <c r="D46" s="65" t="s">
        <v>63</v>
      </c>
      <c r="E46" s="61">
        <v>8003898</v>
      </c>
      <c r="F46" s="63" t="s">
        <v>234</v>
      </c>
      <c r="G46" s="41">
        <v>2023</v>
      </c>
      <c r="H46" s="45" t="s">
        <v>235</v>
      </c>
      <c r="I46" s="62">
        <v>1210</v>
      </c>
      <c r="J46" s="62">
        <v>1100</v>
      </c>
      <c r="K46" s="47"/>
      <c r="L46" s="47"/>
      <c r="M46" s="62">
        <v>1210</v>
      </c>
      <c r="N46" s="62">
        <v>1100</v>
      </c>
      <c r="O46" s="47"/>
      <c r="P46" s="47"/>
      <c r="Q46" s="62">
        <v>1210</v>
      </c>
      <c r="R46" s="46">
        <f t="shared" si="19"/>
        <v>1100</v>
      </c>
      <c r="S46" s="62">
        <v>1100</v>
      </c>
      <c r="T46" s="128"/>
      <c r="U46" s="128">
        <f t="shared" si="17"/>
        <v>0</v>
      </c>
      <c r="V46" s="128"/>
      <c r="W46" s="123"/>
      <c r="X46" s="130">
        <f t="shared" si="23"/>
        <v>0</v>
      </c>
      <c r="Y46" s="42"/>
      <c r="Z46" s="29"/>
    </row>
    <row r="47" spans="1:26" ht="36">
      <c r="A47" s="77" t="s">
        <v>236</v>
      </c>
      <c r="B47" s="78" t="s">
        <v>237</v>
      </c>
      <c r="C47" s="41" t="s">
        <v>238</v>
      </c>
      <c r="D47" s="63" t="s">
        <v>132</v>
      </c>
      <c r="E47" s="63">
        <v>8002815</v>
      </c>
      <c r="F47" s="63" t="s">
        <v>239</v>
      </c>
      <c r="G47" s="41">
        <v>2023</v>
      </c>
      <c r="H47" s="45" t="s">
        <v>240</v>
      </c>
      <c r="I47" s="79">
        <v>1874</v>
      </c>
      <c r="J47" s="79">
        <v>1704</v>
      </c>
      <c r="K47" s="80"/>
      <c r="L47" s="80"/>
      <c r="M47" s="79">
        <v>1874</v>
      </c>
      <c r="N47" s="79">
        <v>1704</v>
      </c>
      <c r="O47" s="80"/>
      <c r="P47" s="80"/>
      <c r="Q47" s="79">
        <v>1874</v>
      </c>
      <c r="R47" s="46">
        <f t="shared" si="19"/>
        <v>1704</v>
      </c>
      <c r="S47" s="79">
        <v>1704</v>
      </c>
      <c r="T47" s="129"/>
      <c r="U47" s="128">
        <f t="shared" si="17"/>
        <v>0</v>
      </c>
      <c r="V47" s="129"/>
      <c r="W47" s="575"/>
      <c r="X47" s="130">
        <f t="shared" si="23"/>
        <v>0</v>
      </c>
      <c r="Y47" s="43"/>
      <c r="Z47" s="81"/>
    </row>
    <row r="48" spans="1:26" ht="25.5" customHeight="1">
      <c r="A48" s="39" t="s">
        <v>241</v>
      </c>
      <c r="B48" s="74" t="s">
        <v>242</v>
      </c>
      <c r="C48" s="632" t="s">
        <v>123</v>
      </c>
      <c r="D48" s="634" t="s">
        <v>124</v>
      </c>
      <c r="E48" s="43">
        <v>7999838</v>
      </c>
      <c r="F48" s="43">
        <v>280.29199999999997</v>
      </c>
      <c r="G48" s="44">
        <v>2023</v>
      </c>
      <c r="H48" s="45" t="s">
        <v>243</v>
      </c>
      <c r="I48" s="62">
        <v>660</v>
      </c>
      <c r="J48" s="62">
        <v>550</v>
      </c>
      <c r="K48" s="47"/>
      <c r="L48" s="47"/>
      <c r="M48" s="62">
        <v>660</v>
      </c>
      <c r="N48" s="62">
        <v>550</v>
      </c>
      <c r="O48" s="47"/>
      <c r="P48" s="47"/>
      <c r="Q48" s="62">
        <v>660</v>
      </c>
      <c r="R48" s="46">
        <f t="shared" si="19"/>
        <v>550</v>
      </c>
      <c r="S48" s="62">
        <v>550</v>
      </c>
      <c r="T48" s="128"/>
      <c r="U48" s="128">
        <f t="shared" si="17"/>
        <v>0</v>
      </c>
      <c r="V48" s="128"/>
      <c r="W48" s="123"/>
      <c r="X48" s="130">
        <f t="shared" si="23"/>
        <v>0</v>
      </c>
      <c r="Y48" s="42"/>
      <c r="Z48" s="29"/>
    </row>
    <row r="49" spans="1:26" ht="36">
      <c r="A49" s="39" t="s">
        <v>244</v>
      </c>
      <c r="B49" s="74" t="s">
        <v>245</v>
      </c>
      <c r="C49" s="633"/>
      <c r="D49" s="635"/>
      <c r="E49" s="43">
        <v>7999837</v>
      </c>
      <c r="F49" s="43">
        <v>280.29199999999997</v>
      </c>
      <c r="G49" s="44">
        <v>2023</v>
      </c>
      <c r="H49" s="45" t="s">
        <v>246</v>
      </c>
      <c r="I49" s="62">
        <v>1086</v>
      </c>
      <c r="J49" s="62">
        <v>905</v>
      </c>
      <c r="K49" s="47"/>
      <c r="L49" s="47"/>
      <c r="M49" s="62">
        <v>1086</v>
      </c>
      <c r="N49" s="62">
        <v>905</v>
      </c>
      <c r="O49" s="47"/>
      <c r="P49" s="47"/>
      <c r="Q49" s="62">
        <v>1086</v>
      </c>
      <c r="R49" s="46">
        <f t="shared" si="19"/>
        <v>905</v>
      </c>
      <c r="S49" s="62">
        <v>905</v>
      </c>
      <c r="T49" s="128"/>
      <c r="U49" s="128">
        <f t="shared" si="17"/>
        <v>0</v>
      </c>
      <c r="V49" s="128"/>
      <c r="W49" s="123"/>
      <c r="X49" s="130">
        <f t="shared" si="23"/>
        <v>0</v>
      </c>
      <c r="Y49" s="42"/>
      <c r="Z49" s="29"/>
    </row>
    <row r="50" spans="1:26" ht="45">
      <c r="A50" s="39" t="s">
        <v>247</v>
      </c>
      <c r="B50" s="74" t="s">
        <v>248</v>
      </c>
      <c r="C50" s="59" t="s">
        <v>127</v>
      </c>
      <c r="D50" s="82" t="s">
        <v>128</v>
      </c>
      <c r="E50" s="83" t="s">
        <v>249</v>
      </c>
      <c r="F50" s="43">
        <v>280.29199999999997</v>
      </c>
      <c r="G50" s="59">
        <v>2023</v>
      </c>
      <c r="H50" s="66" t="s">
        <v>250</v>
      </c>
      <c r="I50" s="62">
        <v>1800</v>
      </c>
      <c r="J50" s="62">
        <v>1500</v>
      </c>
      <c r="K50" s="47"/>
      <c r="L50" s="47"/>
      <c r="M50" s="62">
        <v>1800</v>
      </c>
      <c r="N50" s="62">
        <v>1500</v>
      </c>
      <c r="O50" s="47"/>
      <c r="P50" s="47"/>
      <c r="Q50" s="62">
        <v>1800</v>
      </c>
      <c r="R50" s="46">
        <f t="shared" si="19"/>
        <v>1500</v>
      </c>
      <c r="S50" s="62">
        <v>1500</v>
      </c>
      <c r="T50" s="128"/>
      <c r="U50" s="128">
        <f t="shared" si="17"/>
        <v>1499.242</v>
      </c>
      <c r="V50" s="128">
        <v>1499.242</v>
      </c>
      <c r="W50" s="123"/>
      <c r="X50" s="130">
        <f t="shared" ref="X50:X58" si="24">U50/R50*100</f>
        <v>99.949466666666666</v>
      </c>
      <c r="Y50" s="42"/>
      <c r="Z50" s="29"/>
    </row>
    <row r="51" spans="1:26" ht="24" customHeight="1">
      <c r="A51" s="39" t="s">
        <v>251</v>
      </c>
      <c r="B51" s="48" t="s">
        <v>252</v>
      </c>
      <c r="C51" s="59" t="s">
        <v>253</v>
      </c>
      <c r="D51" s="60" t="s">
        <v>132</v>
      </c>
      <c r="E51" s="61">
        <v>8003900</v>
      </c>
      <c r="F51" s="61" t="s">
        <v>254</v>
      </c>
      <c r="G51" s="41">
        <v>2023</v>
      </c>
      <c r="H51" s="45" t="s">
        <v>255</v>
      </c>
      <c r="I51" s="62">
        <v>2300</v>
      </c>
      <c r="J51" s="62">
        <v>1150</v>
      </c>
      <c r="K51" s="47"/>
      <c r="L51" s="47"/>
      <c r="M51" s="62">
        <v>2300</v>
      </c>
      <c r="N51" s="62">
        <v>1150</v>
      </c>
      <c r="O51" s="47"/>
      <c r="P51" s="47"/>
      <c r="Q51" s="62">
        <v>2300</v>
      </c>
      <c r="R51" s="46">
        <f t="shared" si="19"/>
        <v>1150</v>
      </c>
      <c r="S51" s="62">
        <v>1150</v>
      </c>
      <c r="T51" s="128"/>
      <c r="U51" s="128">
        <f t="shared" si="17"/>
        <v>0</v>
      </c>
      <c r="V51" s="128"/>
      <c r="W51" s="123"/>
      <c r="X51" s="130">
        <f t="shared" si="24"/>
        <v>0</v>
      </c>
      <c r="Y51" s="42"/>
      <c r="Z51" s="29"/>
    </row>
    <row r="52" spans="1:26" ht="45">
      <c r="A52" s="39" t="s">
        <v>256</v>
      </c>
      <c r="B52" s="74" t="s">
        <v>257</v>
      </c>
      <c r="C52" s="59" t="s">
        <v>133</v>
      </c>
      <c r="D52" s="84" t="s">
        <v>134</v>
      </c>
      <c r="E52" s="60">
        <v>8000946</v>
      </c>
      <c r="F52" s="85" t="s">
        <v>194</v>
      </c>
      <c r="G52" s="59">
        <v>2023</v>
      </c>
      <c r="H52" s="66" t="s">
        <v>258</v>
      </c>
      <c r="I52" s="62">
        <v>1080</v>
      </c>
      <c r="J52" s="62">
        <v>900</v>
      </c>
      <c r="K52" s="47"/>
      <c r="L52" s="47"/>
      <c r="M52" s="62">
        <v>1080</v>
      </c>
      <c r="N52" s="62">
        <v>900</v>
      </c>
      <c r="O52" s="47"/>
      <c r="P52" s="47"/>
      <c r="Q52" s="62">
        <v>1080</v>
      </c>
      <c r="R52" s="46">
        <f t="shared" si="19"/>
        <v>900</v>
      </c>
      <c r="S52" s="62">
        <v>900</v>
      </c>
      <c r="T52" s="128"/>
      <c r="U52" s="128">
        <f t="shared" si="17"/>
        <v>0</v>
      </c>
      <c r="V52" s="128"/>
      <c r="W52" s="123"/>
      <c r="X52" s="130">
        <f t="shared" si="24"/>
        <v>0</v>
      </c>
      <c r="Y52" s="42"/>
      <c r="Z52" s="29"/>
    </row>
    <row r="53" spans="1:26" ht="24" customHeight="1">
      <c r="A53" s="39" t="s">
        <v>259</v>
      </c>
      <c r="B53" s="75" t="s">
        <v>260</v>
      </c>
      <c r="C53" s="59" t="s">
        <v>261</v>
      </c>
      <c r="D53" s="60" t="s">
        <v>135</v>
      </c>
      <c r="E53" s="60">
        <v>8006210</v>
      </c>
      <c r="F53" s="61" t="s">
        <v>254</v>
      </c>
      <c r="G53" s="59" t="s">
        <v>262</v>
      </c>
      <c r="H53" s="66" t="s">
        <v>263</v>
      </c>
      <c r="I53" s="62">
        <v>2300</v>
      </c>
      <c r="J53" s="62">
        <v>1150</v>
      </c>
      <c r="K53" s="47"/>
      <c r="L53" s="47"/>
      <c r="M53" s="62">
        <v>2300</v>
      </c>
      <c r="N53" s="62">
        <v>1150</v>
      </c>
      <c r="O53" s="47"/>
      <c r="P53" s="47"/>
      <c r="Q53" s="62">
        <v>2300</v>
      </c>
      <c r="R53" s="46">
        <f t="shared" si="19"/>
        <v>1150</v>
      </c>
      <c r="S53" s="62">
        <v>1150</v>
      </c>
      <c r="T53" s="128"/>
      <c r="U53" s="128">
        <f t="shared" si="17"/>
        <v>0</v>
      </c>
      <c r="V53" s="128"/>
      <c r="W53" s="123"/>
      <c r="X53" s="130">
        <f t="shared" si="24"/>
        <v>0</v>
      </c>
      <c r="Y53" s="42"/>
      <c r="Z53" s="29"/>
    </row>
    <row r="54" spans="1:26" ht="22.5" customHeight="1">
      <c r="A54" s="39" t="s">
        <v>264</v>
      </c>
      <c r="B54" s="74" t="s">
        <v>265</v>
      </c>
      <c r="C54" s="59" t="s">
        <v>151</v>
      </c>
      <c r="D54" s="82" t="s">
        <v>137</v>
      </c>
      <c r="E54" s="82"/>
      <c r="F54" s="82"/>
      <c r="G54" s="59">
        <v>2023</v>
      </c>
      <c r="H54" s="45"/>
      <c r="I54" s="62">
        <v>1200</v>
      </c>
      <c r="J54" s="62">
        <v>1000</v>
      </c>
      <c r="K54" s="49"/>
      <c r="L54" s="49"/>
      <c r="M54" s="62">
        <v>1200</v>
      </c>
      <c r="N54" s="62">
        <v>1000</v>
      </c>
      <c r="O54" s="49"/>
      <c r="P54" s="49"/>
      <c r="Q54" s="62">
        <v>1200</v>
      </c>
      <c r="R54" s="46">
        <f t="shared" si="19"/>
        <v>1000</v>
      </c>
      <c r="S54" s="62">
        <v>1000</v>
      </c>
      <c r="T54" s="114"/>
      <c r="U54" s="128">
        <f t="shared" si="17"/>
        <v>0</v>
      </c>
      <c r="V54" s="114"/>
      <c r="W54" s="572"/>
      <c r="X54" s="130">
        <f t="shared" si="24"/>
        <v>0</v>
      </c>
      <c r="Y54" s="50"/>
      <c r="Z54" s="32"/>
    </row>
    <row r="55" spans="1:26" ht="45">
      <c r="A55" s="39" t="s">
        <v>266</v>
      </c>
      <c r="B55" s="74" t="s">
        <v>267</v>
      </c>
      <c r="C55" s="59" t="s">
        <v>136</v>
      </c>
      <c r="D55" s="82" t="s">
        <v>137</v>
      </c>
      <c r="E55" s="60">
        <v>8007124</v>
      </c>
      <c r="F55" s="43">
        <v>280.29199999999997</v>
      </c>
      <c r="G55" s="59">
        <v>2023</v>
      </c>
      <c r="H55" s="45" t="s">
        <v>268</v>
      </c>
      <c r="I55" s="62">
        <v>1380</v>
      </c>
      <c r="J55" s="62">
        <v>1150</v>
      </c>
      <c r="K55" s="49"/>
      <c r="L55" s="49"/>
      <c r="M55" s="62">
        <v>1380</v>
      </c>
      <c r="N55" s="62">
        <v>1150</v>
      </c>
      <c r="O55" s="49"/>
      <c r="P55" s="49"/>
      <c r="Q55" s="62">
        <f>R55+(R55*10%)</f>
        <v>605</v>
      </c>
      <c r="R55" s="46">
        <f t="shared" si="19"/>
        <v>550</v>
      </c>
      <c r="S55" s="62">
        <v>550</v>
      </c>
      <c r="T55" s="114"/>
      <c r="U55" s="128">
        <f t="shared" si="17"/>
        <v>0</v>
      </c>
      <c r="V55" s="114"/>
      <c r="W55" s="572"/>
      <c r="X55" s="130">
        <f t="shared" si="24"/>
        <v>0</v>
      </c>
      <c r="Y55" s="50"/>
      <c r="Z55" s="32"/>
    </row>
    <row r="56" spans="1:26" ht="21.75" customHeight="1">
      <c r="A56" s="39" t="s">
        <v>269</v>
      </c>
      <c r="B56" s="74" t="s">
        <v>270</v>
      </c>
      <c r="C56" s="59" t="s">
        <v>271</v>
      </c>
      <c r="D56" s="82" t="s">
        <v>138</v>
      </c>
      <c r="E56" s="60">
        <v>8005323</v>
      </c>
      <c r="F56" s="61" t="s">
        <v>254</v>
      </c>
      <c r="G56" s="59" t="s">
        <v>262</v>
      </c>
      <c r="H56" s="66" t="s">
        <v>272</v>
      </c>
      <c r="I56" s="62">
        <v>2300</v>
      </c>
      <c r="J56" s="62">
        <v>1164</v>
      </c>
      <c r="K56" s="47"/>
      <c r="L56" s="47"/>
      <c r="M56" s="62">
        <v>2300</v>
      </c>
      <c r="N56" s="62">
        <v>1164</v>
      </c>
      <c r="O56" s="47"/>
      <c r="P56" s="47"/>
      <c r="Q56" s="62">
        <v>2300</v>
      </c>
      <c r="R56" s="46">
        <f t="shared" si="19"/>
        <v>1164</v>
      </c>
      <c r="S56" s="62">
        <v>1164</v>
      </c>
      <c r="T56" s="128"/>
      <c r="U56" s="128">
        <f t="shared" si="17"/>
        <v>0</v>
      </c>
      <c r="V56" s="128"/>
      <c r="W56" s="123"/>
      <c r="X56" s="130">
        <f t="shared" si="24"/>
        <v>0</v>
      </c>
      <c r="Y56" s="42"/>
      <c r="Z56" s="29"/>
    </row>
    <row r="57" spans="1:26" ht="21.75" customHeight="1">
      <c r="A57" s="39" t="s">
        <v>273</v>
      </c>
      <c r="B57" s="74" t="s">
        <v>274</v>
      </c>
      <c r="C57" s="59" t="s">
        <v>275</v>
      </c>
      <c r="D57" s="82" t="s">
        <v>139</v>
      </c>
      <c r="E57" s="60">
        <v>8006197</v>
      </c>
      <c r="F57" s="82" t="s">
        <v>276</v>
      </c>
      <c r="G57" s="59">
        <v>2023</v>
      </c>
      <c r="H57" s="66" t="s">
        <v>277</v>
      </c>
      <c r="I57" s="62">
        <v>1265</v>
      </c>
      <c r="J57" s="62">
        <v>1150</v>
      </c>
      <c r="K57" s="47"/>
      <c r="L57" s="47"/>
      <c r="M57" s="62">
        <v>1265</v>
      </c>
      <c r="N57" s="62">
        <v>1150</v>
      </c>
      <c r="O57" s="47"/>
      <c r="P57" s="47"/>
      <c r="Q57" s="62">
        <v>1265</v>
      </c>
      <c r="R57" s="46">
        <f t="shared" si="19"/>
        <v>1150</v>
      </c>
      <c r="S57" s="62">
        <v>1150</v>
      </c>
      <c r="T57" s="128"/>
      <c r="U57" s="128">
        <f t="shared" si="17"/>
        <v>0</v>
      </c>
      <c r="V57" s="128"/>
      <c r="W57" s="123"/>
      <c r="X57" s="130">
        <f t="shared" si="24"/>
        <v>0</v>
      </c>
      <c r="Y57" s="42"/>
      <c r="Z57" s="29"/>
    </row>
    <row r="58" spans="1:26" ht="21.75" customHeight="1">
      <c r="A58" s="39" t="s">
        <v>278</v>
      </c>
      <c r="B58" s="75" t="s">
        <v>279</v>
      </c>
      <c r="C58" s="59" t="s">
        <v>150</v>
      </c>
      <c r="D58" s="65" t="s">
        <v>140</v>
      </c>
      <c r="E58" s="65">
        <v>8006187</v>
      </c>
      <c r="F58" s="61" t="s">
        <v>254</v>
      </c>
      <c r="G58" s="59" t="s">
        <v>262</v>
      </c>
      <c r="H58" s="66" t="s">
        <v>280</v>
      </c>
      <c r="I58" s="62">
        <v>2300</v>
      </c>
      <c r="J58" s="62">
        <v>1164</v>
      </c>
      <c r="K58" s="47"/>
      <c r="L58" s="47"/>
      <c r="M58" s="62">
        <v>2300</v>
      </c>
      <c r="N58" s="62">
        <v>1164</v>
      </c>
      <c r="O58" s="47"/>
      <c r="P58" s="47"/>
      <c r="Q58" s="62">
        <v>2300</v>
      </c>
      <c r="R58" s="46">
        <f t="shared" si="19"/>
        <v>1164</v>
      </c>
      <c r="S58" s="62">
        <v>1164</v>
      </c>
      <c r="T58" s="128"/>
      <c r="U58" s="128">
        <f t="shared" si="17"/>
        <v>0</v>
      </c>
      <c r="V58" s="128"/>
      <c r="W58" s="123"/>
      <c r="X58" s="130">
        <f t="shared" si="24"/>
        <v>0</v>
      </c>
      <c r="Y58" s="42"/>
      <c r="Z58" s="29"/>
    </row>
    <row r="59" spans="1:26" ht="21.75" customHeight="1">
      <c r="A59" s="39" t="s">
        <v>281</v>
      </c>
      <c r="B59" s="75" t="s">
        <v>282</v>
      </c>
      <c r="C59" s="59" t="s">
        <v>283</v>
      </c>
      <c r="D59" s="65" t="s">
        <v>141</v>
      </c>
      <c r="E59" s="61">
        <v>8006206</v>
      </c>
      <c r="F59" s="61" t="s">
        <v>254</v>
      </c>
      <c r="G59" s="59" t="s">
        <v>262</v>
      </c>
      <c r="H59" s="66" t="s">
        <v>284</v>
      </c>
      <c r="I59" s="62">
        <v>2300</v>
      </c>
      <c r="J59" s="62">
        <v>1150</v>
      </c>
      <c r="K59" s="47"/>
      <c r="L59" s="47"/>
      <c r="M59" s="62">
        <v>2300</v>
      </c>
      <c r="N59" s="62">
        <v>1150</v>
      </c>
      <c r="O59" s="47"/>
      <c r="P59" s="47"/>
      <c r="Q59" s="62">
        <v>2300</v>
      </c>
      <c r="R59" s="46">
        <f t="shared" si="19"/>
        <v>1150</v>
      </c>
      <c r="S59" s="62">
        <v>1150</v>
      </c>
      <c r="T59" s="128"/>
      <c r="U59" s="128">
        <f t="shared" si="17"/>
        <v>0</v>
      </c>
      <c r="V59" s="128"/>
      <c r="W59" s="123"/>
      <c r="X59" s="130">
        <f t="shared" ref="X59:X87" si="25">U59/R59*100</f>
        <v>0</v>
      </c>
      <c r="Y59" s="42"/>
      <c r="Z59" s="29"/>
    </row>
    <row r="60" spans="1:26" ht="26.25" customHeight="1">
      <c r="A60" s="39" t="s">
        <v>285</v>
      </c>
      <c r="B60" s="64" t="s">
        <v>286</v>
      </c>
      <c r="C60" s="632" t="s">
        <v>67</v>
      </c>
      <c r="D60" s="82" t="s">
        <v>287</v>
      </c>
      <c r="E60" s="61">
        <v>8002500</v>
      </c>
      <c r="F60" s="34" t="s">
        <v>208</v>
      </c>
      <c r="G60" s="86">
        <v>2023</v>
      </c>
      <c r="H60" s="87" t="s">
        <v>288</v>
      </c>
      <c r="I60" s="67">
        <v>4620</v>
      </c>
      <c r="J60" s="67">
        <v>4200</v>
      </c>
      <c r="K60" s="49"/>
      <c r="L60" s="49"/>
      <c r="M60" s="67">
        <v>4620</v>
      </c>
      <c r="N60" s="67">
        <v>4200</v>
      </c>
      <c r="O60" s="49"/>
      <c r="P60" s="49"/>
      <c r="Q60" s="67">
        <v>4620</v>
      </c>
      <c r="R60" s="46">
        <f t="shared" si="19"/>
        <v>4200</v>
      </c>
      <c r="S60" s="67">
        <v>4200</v>
      </c>
      <c r="T60" s="114"/>
      <c r="U60" s="128">
        <f t="shared" si="17"/>
        <v>0</v>
      </c>
      <c r="V60" s="114"/>
      <c r="W60" s="572"/>
      <c r="X60" s="114"/>
      <c r="Y60" s="50"/>
      <c r="Z60" s="32"/>
    </row>
    <row r="61" spans="1:26" ht="26.25" customHeight="1">
      <c r="A61" s="39" t="s">
        <v>289</v>
      </c>
      <c r="B61" s="48" t="s">
        <v>290</v>
      </c>
      <c r="C61" s="633"/>
      <c r="D61" s="84" t="s">
        <v>45</v>
      </c>
      <c r="E61" s="61">
        <v>8002499</v>
      </c>
      <c r="F61" s="34" t="s">
        <v>208</v>
      </c>
      <c r="G61" s="41">
        <v>2023</v>
      </c>
      <c r="H61" s="87" t="s">
        <v>291</v>
      </c>
      <c r="I61" s="67">
        <v>2695</v>
      </c>
      <c r="J61" s="67">
        <v>2405</v>
      </c>
      <c r="K61" s="47"/>
      <c r="L61" s="47"/>
      <c r="M61" s="67">
        <v>2695</v>
      </c>
      <c r="N61" s="67">
        <v>2405</v>
      </c>
      <c r="O61" s="47"/>
      <c r="P61" s="47"/>
      <c r="Q61" s="67">
        <v>2695</v>
      </c>
      <c r="R61" s="46">
        <f t="shared" si="19"/>
        <v>2405</v>
      </c>
      <c r="S61" s="67">
        <v>2405</v>
      </c>
      <c r="T61" s="128"/>
      <c r="U61" s="128">
        <f t="shared" si="17"/>
        <v>0</v>
      </c>
      <c r="V61" s="128"/>
      <c r="W61" s="123"/>
      <c r="X61" s="130">
        <f t="shared" si="25"/>
        <v>0</v>
      </c>
      <c r="Y61" s="42"/>
      <c r="Z61" s="29"/>
    </row>
    <row r="62" spans="1:26" ht="56.25" customHeight="1">
      <c r="A62" s="131" t="s">
        <v>13</v>
      </c>
      <c r="B62" s="132" t="s">
        <v>73</v>
      </c>
      <c r="C62" s="133"/>
      <c r="D62" s="131"/>
      <c r="E62" s="131"/>
      <c r="F62" s="131"/>
      <c r="G62" s="133"/>
      <c r="H62" s="134"/>
      <c r="I62" s="135">
        <f t="shared" ref="I62:S62" si="26">I63+I87+I90+I106+I114+I128</f>
        <v>207677.52273319691</v>
      </c>
      <c r="J62" s="135">
        <f t="shared" si="26"/>
        <v>188804.02248472444</v>
      </c>
      <c r="K62" s="135">
        <f t="shared" si="26"/>
        <v>166337.81085328889</v>
      </c>
      <c r="L62" s="135">
        <f t="shared" si="26"/>
        <v>49295.191699999996</v>
      </c>
      <c r="M62" s="135">
        <f t="shared" si="26"/>
        <v>207677.52273319691</v>
      </c>
      <c r="N62" s="135">
        <f t="shared" si="26"/>
        <v>188804.02248472444</v>
      </c>
      <c r="O62" s="135">
        <f t="shared" si="26"/>
        <v>0</v>
      </c>
      <c r="P62" s="135">
        <f t="shared" si="26"/>
        <v>0</v>
      </c>
      <c r="Q62" s="135">
        <f t="shared" si="26"/>
        <v>73655.327038311108</v>
      </c>
      <c r="R62" s="135">
        <f t="shared" si="26"/>
        <v>72673.998793777777</v>
      </c>
      <c r="S62" s="135">
        <f t="shared" si="26"/>
        <v>72673.998793777777</v>
      </c>
      <c r="T62" s="135">
        <f t="shared" ref="T62:W62" si="27">T63+T87+T90+T106+T114+T128</f>
        <v>0</v>
      </c>
      <c r="U62" s="135">
        <f>U63+U87+U90+U106+U114+U128</f>
        <v>20687.483620999999</v>
      </c>
      <c r="V62" s="136">
        <f t="shared" si="27"/>
        <v>20687.483620999999</v>
      </c>
      <c r="W62" s="571">
        <f t="shared" si="27"/>
        <v>0</v>
      </c>
      <c r="X62" s="136">
        <f>U62/R62*100</f>
        <v>28.466141899943487</v>
      </c>
      <c r="Y62" s="135">
        <f t="shared" ref="Y62" si="28">Y63+Y87+Y90+Y106+Y114+Y128</f>
        <v>0</v>
      </c>
      <c r="Z62" s="73"/>
    </row>
    <row r="63" spans="1:26">
      <c r="A63" s="54">
        <v>1</v>
      </c>
      <c r="B63" s="91" t="s">
        <v>37</v>
      </c>
      <c r="C63" s="55"/>
      <c r="D63" s="50"/>
      <c r="E63" s="49"/>
      <c r="F63" s="49"/>
      <c r="G63" s="92"/>
      <c r="H63" s="93"/>
      <c r="I63" s="89">
        <f t="shared" ref="I63:R63" si="29">I64+I67+I71+I80</f>
        <v>17615.3766622</v>
      </c>
      <c r="J63" s="89">
        <f t="shared" si="29"/>
        <v>16013.980602</v>
      </c>
      <c r="K63" s="89">
        <f t="shared" si="29"/>
        <v>6909.8482899999999</v>
      </c>
      <c r="L63" s="89">
        <f t="shared" si="29"/>
        <v>4263.4076999999997</v>
      </c>
      <c r="M63" s="89">
        <f t="shared" si="29"/>
        <v>17615.3766622</v>
      </c>
      <c r="N63" s="89">
        <f t="shared" si="29"/>
        <v>16013.980602</v>
      </c>
      <c r="O63" s="89">
        <f t="shared" si="29"/>
        <v>0</v>
      </c>
      <c r="P63" s="89">
        <f t="shared" si="29"/>
        <v>0</v>
      </c>
      <c r="Q63" s="89">
        <f t="shared" si="29"/>
        <v>6110.9241999999995</v>
      </c>
      <c r="R63" s="90">
        <f t="shared" si="29"/>
        <v>5844.9961999999996</v>
      </c>
      <c r="S63" s="90">
        <f>S64+S67+S71+S80</f>
        <v>5844.9961999999996</v>
      </c>
      <c r="T63" s="90">
        <f t="shared" ref="T63:W63" si="30">T64+T67+T71+T80</f>
        <v>0</v>
      </c>
      <c r="U63" s="90">
        <f t="shared" si="30"/>
        <v>1384.9189999999999</v>
      </c>
      <c r="V63" s="90">
        <f t="shared" si="30"/>
        <v>1384.9189999999999</v>
      </c>
      <c r="W63" s="576">
        <f t="shared" si="30"/>
        <v>0</v>
      </c>
      <c r="X63" s="130">
        <f t="shared" si="25"/>
        <v>23.694095814809941</v>
      </c>
      <c r="Y63" s="90">
        <f t="shared" ref="Y63" si="31">Y64+Y67+Y71+Y80</f>
        <v>0</v>
      </c>
      <c r="Z63" s="32"/>
    </row>
    <row r="64" spans="1:26">
      <c r="A64" s="95" t="s">
        <v>74</v>
      </c>
      <c r="B64" s="91" t="s">
        <v>75</v>
      </c>
      <c r="C64" s="52"/>
      <c r="D64" s="42"/>
      <c r="E64" s="47"/>
      <c r="F64" s="47"/>
      <c r="G64" s="96"/>
      <c r="H64" s="53"/>
      <c r="I64" s="97">
        <f>I65+I66</f>
        <v>611.19070319999992</v>
      </c>
      <c r="J64" s="97">
        <f t="shared" ref="J64:Q64" si="32">J65+J66</f>
        <v>555.62791199999992</v>
      </c>
      <c r="K64" s="97">
        <f t="shared" si="32"/>
        <v>162.94647000000001</v>
      </c>
      <c r="L64" s="97">
        <f t="shared" si="32"/>
        <v>158.9777</v>
      </c>
      <c r="M64" s="97">
        <f t="shared" si="32"/>
        <v>611.19070319999992</v>
      </c>
      <c r="N64" s="97">
        <f t="shared" si="32"/>
        <v>555.62791199999992</v>
      </c>
      <c r="O64" s="97">
        <f t="shared" si="32"/>
        <v>0</v>
      </c>
      <c r="P64" s="97">
        <f t="shared" si="32"/>
        <v>0</v>
      </c>
      <c r="Q64" s="97">
        <f t="shared" si="32"/>
        <v>119.07</v>
      </c>
      <c r="R64" s="97">
        <f>R65+R66</f>
        <v>119.07</v>
      </c>
      <c r="S64" s="97">
        <f>S65+S66</f>
        <v>119.07</v>
      </c>
      <c r="T64" s="128"/>
      <c r="U64" s="128">
        <f t="shared" si="17"/>
        <v>0</v>
      </c>
      <c r="V64" s="128"/>
      <c r="W64" s="123"/>
      <c r="X64" s="130">
        <f t="shared" si="25"/>
        <v>0</v>
      </c>
      <c r="Y64" s="47"/>
      <c r="Z64" s="29"/>
    </row>
    <row r="65" spans="1:26">
      <c r="A65" s="98" t="s">
        <v>76</v>
      </c>
      <c r="B65" s="58" t="s">
        <v>65</v>
      </c>
      <c r="C65" s="52" t="s">
        <v>275</v>
      </c>
      <c r="D65" s="42" t="s">
        <v>65</v>
      </c>
      <c r="E65" s="47"/>
      <c r="F65" s="47"/>
      <c r="G65" s="96" t="s">
        <v>78</v>
      </c>
      <c r="H65" s="53"/>
      <c r="I65" s="99">
        <v>174.62591519999998</v>
      </c>
      <c r="J65" s="99">
        <v>158.75083199999997</v>
      </c>
      <c r="K65" s="99">
        <v>43.656469999999999</v>
      </c>
      <c r="L65" s="99">
        <v>39.6877</v>
      </c>
      <c r="M65" s="99">
        <v>174.62591519999998</v>
      </c>
      <c r="N65" s="99">
        <v>158.75083199999997</v>
      </c>
      <c r="O65" s="47"/>
      <c r="P65" s="47"/>
      <c r="Q65" s="99">
        <v>39.69</v>
      </c>
      <c r="R65" s="99">
        <v>39.69</v>
      </c>
      <c r="S65" s="99">
        <v>39.69</v>
      </c>
      <c r="T65" s="128"/>
      <c r="U65" s="128">
        <f t="shared" si="17"/>
        <v>0</v>
      </c>
      <c r="V65" s="128"/>
      <c r="W65" s="123"/>
      <c r="X65" s="130">
        <f t="shared" si="25"/>
        <v>0</v>
      </c>
      <c r="Y65" s="47"/>
      <c r="Z65" s="29"/>
    </row>
    <row r="66" spans="1:26">
      <c r="A66" s="98" t="s">
        <v>79</v>
      </c>
      <c r="B66" s="58" t="s">
        <v>66</v>
      </c>
      <c r="C66" s="52" t="s">
        <v>150</v>
      </c>
      <c r="D66" s="42" t="s">
        <v>66</v>
      </c>
      <c r="E66" s="47"/>
      <c r="F66" s="47"/>
      <c r="G66" s="96" t="s">
        <v>78</v>
      </c>
      <c r="H66" s="53"/>
      <c r="I66" s="99">
        <v>436.56478799999991</v>
      </c>
      <c r="J66" s="99">
        <v>396.87707999999992</v>
      </c>
      <c r="K66" s="47">
        <v>119.29</v>
      </c>
      <c r="L66" s="47">
        <v>119.29</v>
      </c>
      <c r="M66" s="99">
        <v>436.56478799999991</v>
      </c>
      <c r="N66" s="99">
        <v>396.87707999999992</v>
      </c>
      <c r="O66" s="47"/>
      <c r="P66" s="47"/>
      <c r="Q66" s="99">
        <v>79.38</v>
      </c>
      <c r="R66" s="99">
        <v>79.38</v>
      </c>
      <c r="S66" s="99">
        <v>79.38</v>
      </c>
      <c r="T66" s="128"/>
      <c r="U66" s="128">
        <f t="shared" si="17"/>
        <v>0</v>
      </c>
      <c r="V66" s="128"/>
      <c r="W66" s="123"/>
      <c r="X66" s="130">
        <f t="shared" si="25"/>
        <v>0</v>
      </c>
      <c r="Y66" s="47"/>
      <c r="Z66" s="29"/>
    </row>
    <row r="67" spans="1:26">
      <c r="A67" s="95" t="s">
        <v>80</v>
      </c>
      <c r="B67" s="91" t="s">
        <v>81</v>
      </c>
      <c r="C67" s="55"/>
      <c r="D67" s="50"/>
      <c r="E67" s="49"/>
      <c r="F67" s="49"/>
      <c r="G67" s="92"/>
      <c r="H67" s="93"/>
      <c r="I67" s="97">
        <f t="shared" ref="I67:R67" si="33">SUM(I68:I70)</f>
        <v>960.43</v>
      </c>
      <c r="J67" s="97">
        <f t="shared" si="33"/>
        <v>873.12</v>
      </c>
      <c r="K67" s="97">
        <f t="shared" si="33"/>
        <v>198.43</v>
      </c>
      <c r="L67" s="97">
        <f t="shared" si="33"/>
        <v>198.43</v>
      </c>
      <c r="M67" s="97">
        <f t="shared" si="33"/>
        <v>960.43</v>
      </c>
      <c r="N67" s="97">
        <f t="shared" si="33"/>
        <v>873.12</v>
      </c>
      <c r="O67" s="97">
        <f t="shared" si="33"/>
        <v>0</v>
      </c>
      <c r="P67" s="97">
        <f t="shared" si="33"/>
        <v>0</v>
      </c>
      <c r="Q67" s="97">
        <f t="shared" si="33"/>
        <v>238.14</v>
      </c>
      <c r="R67" s="97">
        <f t="shared" si="33"/>
        <v>238.14</v>
      </c>
      <c r="S67" s="97">
        <f t="shared" ref="S67" si="34">SUM(S68:S70)</f>
        <v>238.14</v>
      </c>
      <c r="T67" s="114"/>
      <c r="U67" s="128">
        <f t="shared" si="17"/>
        <v>0</v>
      </c>
      <c r="V67" s="114"/>
      <c r="W67" s="572"/>
      <c r="X67" s="130">
        <f t="shared" si="25"/>
        <v>0</v>
      </c>
      <c r="Y67" s="49"/>
      <c r="Z67" s="32"/>
    </row>
    <row r="68" spans="1:26">
      <c r="A68" s="98" t="s">
        <v>82</v>
      </c>
      <c r="B68" s="58" t="s">
        <v>65</v>
      </c>
      <c r="C68" s="52" t="s">
        <v>275</v>
      </c>
      <c r="D68" s="42" t="s">
        <v>65</v>
      </c>
      <c r="E68" s="47"/>
      <c r="F68" s="47"/>
      <c r="G68" s="96" t="s">
        <v>78</v>
      </c>
      <c r="H68" s="53"/>
      <c r="I68" s="99">
        <v>392.9</v>
      </c>
      <c r="J68" s="99">
        <v>357.19</v>
      </c>
      <c r="K68" s="47"/>
      <c r="L68" s="47"/>
      <c r="M68" s="99">
        <v>392.9</v>
      </c>
      <c r="N68" s="99">
        <v>357.19</v>
      </c>
      <c r="O68" s="47"/>
      <c r="P68" s="47"/>
      <c r="Q68" s="99">
        <v>39.69</v>
      </c>
      <c r="R68" s="99">
        <v>39.69</v>
      </c>
      <c r="S68" s="99">
        <v>39.69</v>
      </c>
      <c r="T68" s="128"/>
      <c r="U68" s="128">
        <f t="shared" si="17"/>
        <v>0</v>
      </c>
      <c r="V68" s="128"/>
      <c r="W68" s="123"/>
      <c r="X68" s="130">
        <f t="shared" si="25"/>
        <v>0</v>
      </c>
      <c r="Y68" s="47"/>
      <c r="Z68" s="29"/>
    </row>
    <row r="69" spans="1:26">
      <c r="A69" s="98" t="s">
        <v>83</v>
      </c>
      <c r="B69" s="58" t="s">
        <v>66</v>
      </c>
      <c r="C69" s="52" t="s">
        <v>150</v>
      </c>
      <c r="D69" s="42" t="s">
        <v>66</v>
      </c>
      <c r="E69" s="47"/>
      <c r="F69" s="47"/>
      <c r="G69" s="96" t="s">
        <v>78</v>
      </c>
      <c r="H69" s="53"/>
      <c r="I69" s="99">
        <v>218.28</v>
      </c>
      <c r="J69" s="99">
        <v>198.43</v>
      </c>
      <c r="K69" s="47">
        <v>79.37</v>
      </c>
      <c r="L69" s="47">
        <v>79.37</v>
      </c>
      <c r="M69" s="99">
        <v>218.28</v>
      </c>
      <c r="N69" s="99">
        <v>198.43</v>
      </c>
      <c r="O69" s="47"/>
      <c r="P69" s="47"/>
      <c r="Q69" s="99">
        <f>R69</f>
        <v>119.06</v>
      </c>
      <c r="R69" s="99">
        <f>N69-L69</f>
        <v>119.06</v>
      </c>
      <c r="S69" s="99">
        <f>R69</f>
        <v>119.06</v>
      </c>
      <c r="T69" s="128"/>
      <c r="U69" s="128">
        <f t="shared" si="17"/>
        <v>0</v>
      </c>
      <c r="V69" s="128"/>
      <c r="W69" s="123"/>
      <c r="X69" s="130">
        <f t="shared" si="25"/>
        <v>0</v>
      </c>
      <c r="Y69" s="47"/>
      <c r="Z69" s="29"/>
    </row>
    <row r="70" spans="1:26">
      <c r="A70" s="98" t="s">
        <v>292</v>
      </c>
      <c r="B70" s="58" t="s">
        <v>77</v>
      </c>
      <c r="C70" s="126" t="s">
        <v>293</v>
      </c>
      <c r="D70" s="42" t="s">
        <v>294</v>
      </c>
      <c r="E70" s="47"/>
      <c r="F70" s="47"/>
      <c r="G70" s="96" t="s">
        <v>78</v>
      </c>
      <c r="H70" s="53"/>
      <c r="I70" s="99">
        <v>349.25</v>
      </c>
      <c r="J70" s="99">
        <v>317.5</v>
      </c>
      <c r="K70" s="47">
        <v>119.06</v>
      </c>
      <c r="L70" s="47">
        <v>119.06</v>
      </c>
      <c r="M70" s="99">
        <v>349.25</v>
      </c>
      <c r="N70" s="99">
        <v>317.5</v>
      </c>
      <c r="O70" s="47"/>
      <c r="P70" s="47"/>
      <c r="Q70" s="99">
        <f>R70</f>
        <v>79.39</v>
      </c>
      <c r="R70" s="99">
        <f>N70-L70-119.05</f>
        <v>79.39</v>
      </c>
      <c r="S70" s="99">
        <f>R70</f>
        <v>79.39</v>
      </c>
      <c r="T70" s="128"/>
      <c r="U70" s="128">
        <f t="shared" si="17"/>
        <v>0</v>
      </c>
      <c r="V70" s="128"/>
      <c r="W70" s="123"/>
      <c r="X70" s="130">
        <f t="shared" si="25"/>
        <v>0</v>
      </c>
      <c r="Y70" s="47"/>
      <c r="Z70" s="29"/>
    </row>
    <row r="71" spans="1:26">
      <c r="A71" s="95" t="s">
        <v>211</v>
      </c>
      <c r="B71" s="102" t="s">
        <v>295</v>
      </c>
      <c r="C71" s="52"/>
      <c r="D71" s="42"/>
      <c r="E71" s="47"/>
      <c r="F71" s="47"/>
      <c r="G71" s="96"/>
      <c r="H71" s="53"/>
      <c r="I71" s="97">
        <f>SUM(I72:I79)</f>
        <v>2946.8123190000001</v>
      </c>
      <c r="J71" s="97">
        <f t="shared" ref="J71:R71" si="35">SUM(J72:J79)</f>
        <v>2678.92029</v>
      </c>
      <c r="K71" s="97">
        <f t="shared" si="35"/>
        <v>0</v>
      </c>
      <c r="L71" s="97">
        <f t="shared" si="35"/>
        <v>0</v>
      </c>
      <c r="M71" s="97">
        <f t="shared" si="35"/>
        <v>2946.8123190000001</v>
      </c>
      <c r="N71" s="97">
        <f t="shared" si="35"/>
        <v>2678.92029</v>
      </c>
      <c r="O71" s="97">
        <f t="shared" si="35"/>
        <v>0</v>
      </c>
      <c r="P71" s="97">
        <f t="shared" si="35"/>
        <v>0</v>
      </c>
      <c r="Q71" s="97">
        <f t="shared" si="35"/>
        <v>781.35</v>
      </c>
      <c r="R71" s="97">
        <f t="shared" si="35"/>
        <v>781.35</v>
      </c>
      <c r="S71" s="97">
        <f t="shared" ref="S71" si="36">SUM(S72:S79)</f>
        <v>781.35</v>
      </c>
      <c r="T71" s="128"/>
      <c r="U71" s="128">
        <f t="shared" si="17"/>
        <v>0</v>
      </c>
      <c r="V71" s="128"/>
      <c r="W71" s="123"/>
      <c r="X71" s="130">
        <f t="shared" si="25"/>
        <v>0</v>
      </c>
      <c r="Y71" s="47"/>
      <c r="Z71" s="29"/>
    </row>
    <row r="72" spans="1:26">
      <c r="A72" s="98" t="s">
        <v>296</v>
      </c>
      <c r="B72" s="101" t="s">
        <v>77</v>
      </c>
      <c r="C72" s="126" t="s">
        <v>293</v>
      </c>
      <c r="D72" s="126" t="s">
        <v>77</v>
      </c>
      <c r="E72" s="101"/>
      <c r="F72" s="101"/>
      <c r="G72" s="96" t="s">
        <v>78</v>
      </c>
      <c r="H72" s="53"/>
      <c r="I72" s="99">
        <v>442.02184784999997</v>
      </c>
      <c r="J72" s="99">
        <v>401.83804349999997</v>
      </c>
      <c r="K72" s="47"/>
      <c r="L72" s="47"/>
      <c r="M72" s="99">
        <v>442.02184784999997</v>
      </c>
      <c r="N72" s="99">
        <v>401.83804349999997</v>
      </c>
      <c r="O72" s="47"/>
      <c r="P72" s="47"/>
      <c r="Q72" s="99">
        <v>89.3</v>
      </c>
      <c r="R72" s="99">
        <v>89.3</v>
      </c>
      <c r="S72" s="99">
        <f>R72</f>
        <v>89.3</v>
      </c>
      <c r="T72" s="128"/>
      <c r="U72" s="128">
        <f t="shared" si="17"/>
        <v>0</v>
      </c>
      <c r="V72" s="128"/>
      <c r="W72" s="123"/>
      <c r="X72" s="130">
        <f t="shared" si="25"/>
        <v>0</v>
      </c>
      <c r="Y72" s="47"/>
      <c r="Z72" s="29"/>
    </row>
    <row r="73" spans="1:26">
      <c r="A73" s="98" t="s">
        <v>297</v>
      </c>
      <c r="B73" s="101" t="s">
        <v>23</v>
      </c>
      <c r="C73" s="126" t="s">
        <v>150</v>
      </c>
      <c r="D73" s="126" t="s">
        <v>23</v>
      </c>
      <c r="E73" s="101"/>
      <c r="F73" s="101"/>
      <c r="G73" s="96" t="s">
        <v>78</v>
      </c>
      <c r="H73" s="53"/>
      <c r="I73" s="99">
        <v>171.897385275</v>
      </c>
      <c r="J73" s="99">
        <v>156.27035025000001</v>
      </c>
      <c r="K73" s="47"/>
      <c r="L73" s="47"/>
      <c r="M73" s="99">
        <v>171.897385275</v>
      </c>
      <c r="N73" s="99">
        <v>156.27035025000001</v>
      </c>
      <c r="O73" s="47"/>
      <c r="P73" s="47"/>
      <c r="Q73" s="99">
        <v>66.97</v>
      </c>
      <c r="R73" s="99">
        <v>66.97</v>
      </c>
      <c r="S73" s="99">
        <v>66.97</v>
      </c>
      <c r="T73" s="128"/>
      <c r="U73" s="128">
        <f t="shared" si="17"/>
        <v>0</v>
      </c>
      <c r="V73" s="128"/>
      <c r="W73" s="123"/>
      <c r="X73" s="130">
        <f t="shared" si="25"/>
        <v>0</v>
      </c>
      <c r="Y73" s="47"/>
      <c r="Z73" s="29"/>
    </row>
    <row r="74" spans="1:26">
      <c r="A74" s="98" t="s">
        <v>298</v>
      </c>
      <c r="B74" s="101" t="s">
        <v>299</v>
      </c>
      <c r="C74" s="126" t="s">
        <v>271</v>
      </c>
      <c r="D74" s="126" t="s">
        <v>299</v>
      </c>
      <c r="E74" s="101"/>
      <c r="F74" s="101"/>
      <c r="G74" s="96" t="s">
        <v>78</v>
      </c>
      <c r="H74" s="53"/>
      <c r="I74" s="99">
        <v>73.670307975</v>
      </c>
      <c r="J74" s="99">
        <v>66.973007249999995</v>
      </c>
      <c r="K74" s="47"/>
      <c r="L74" s="47"/>
      <c r="M74" s="99">
        <v>73.670307975</v>
      </c>
      <c r="N74" s="99">
        <v>66.973007249999995</v>
      </c>
      <c r="O74" s="47"/>
      <c r="P74" s="47"/>
      <c r="Q74" s="99">
        <v>22.32</v>
      </c>
      <c r="R74" s="99">
        <v>22.32</v>
      </c>
      <c r="S74" s="99">
        <v>22.32</v>
      </c>
      <c r="T74" s="128"/>
      <c r="U74" s="128">
        <f t="shared" si="17"/>
        <v>0</v>
      </c>
      <c r="V74" s="128"/>
      <c r="W74" s="123"/>
      <c r="X74" s="130">
        <f t="shared" si="25"/>
        <v>0</v>
      </c>
      <c r="Y74" s="47"/>
      <c r="Z74" s="29"/>
    </row>
    <row r="75" spans="1:26">
      <c r="A75" s="98" t="s">
        <v>300</v>
      </c>
      <c r="B75" s="101" t="s">
        <v>18</v>
      </c>
      <c r="C75" s="126" t="s">
        <v>301</v>
      </c>
      <c r="D75" s="126" t="s">
        <v>18</v>
      </c>
      <c r="E75" s="101"/>
      <c r="F75" s="101"/>
      <c r="G75" s="96" t="s">
        <v>78</v>
      </c>
      <c r="H75" s="53"/>
      <c r="I75" s="99">
        <v>761.25984907499992</v>
      </c>
      <c r="J75" s="99">
        <v>692.05440824999994</v>
      </c>
      <c r="K75" s="47"/>
      <c r="L75" s="47"/>
      <c r="M75" s="99">
        <v>761.25984907499992</v>
      </c>
      <c r="N75" s="99">
        <v>692.05440824999994</v>
      </c>
      <c r="O75" s="47"/>
      <c r="P75" s="47"/>
      <c r="Q75" s="99">
        <v>133.94999999999999</v>
      </c>
      <c r="R75" s="99">
        <v>133.94999999999999</v>
      </c>
      <c r="S75" s="99">
        <v>133.94999999999999</v>
      </c>
      <c r="T75" s="128"/>
      <c r="U75" s="128">
        <f t="shared" si="17"/>
        <v>0</v>
      </c>
      <c r="V75" s="128"/>
      <c r="W75" s="123"/>
      <c r="X75" s="130">
        <f t="shared" si="25"/>
        <v>0</v>
      </c>
      <c r="Y75" s="47"/>
      <c r="Z75" s="29"/>
    </row>
    <row r="76" spans="1:26">
      <c r="A76" s="98" t="s">
        <v>302</v>
      </c>
      <c r="B76" s="101" t="s">
        <v>100</v>
      </c>
      <c r="C76" s="126" t="s">
        <v>303</v>
      </c>
      <c r="D76" s="126" t="s">
        <v>100</v>
      </c>
      <c r="E76" s="101"/>
      <c r="F76" s="101"/>
      <c r="G76" s="96" t="s">
        <v>78</v>
      </c>
      <c r="H76" s="53"/>
      <c r="I76" s="99">
        <v>270.124462575</v>
      </c>
      <c r="J76" s="99">
        <v>245.56769324999999</v>
      </c>
      <c r="K76" s="47"/>
      <c r="L76" s="47"/>
      <c r="M76" s="99">
        <v>270.124462575</v>
      </c>
      <c r="N76" s="99">
        <v>245.56769324999999</v>
      </c>
      <c r="O76" s="47"/>
      <c r="P76" s="47"/>
      <c r="Q76" s="99">
        <v>89.3</v>
      </c>
      <c r="R76" s="99">
        <v>89.3</v>
      </c>
      <c r="S76" s="99">
        <v>89.3</v>
      </c>
      <c r="T76" s="128"/>
      <c r="U76" s="128">
        <f t="shared" si="17"/>
        <v>0</v>
      </c>
      <c r="V76" s="128"/>
      <c r="W76" s="123"/>
      <c r="X76" s="130">
        <f t="shared" si="25"/>
        <v>0</v>
      </c>
      <c r="Y76" s="47"/>
      <c r="Z76" s="29"/>
    </row>
    <row r="77" spans="1:26">
      <c r="A77" s="98" t="s">
        <v>304</v>
      </c>
      <c r="B77" s="101" t="s">
        <v>101</v>
      </c>
      <c r="C77" s="126" t="s">
        <v>305</v>
      </c>
      <c r="D77" s="126" t="s">
        <v>101</v>
      </c>
      <c r="E77" s="101"/>
      <c r="F77" s="101"/>
      <c r="G77" s="96" t="s">
        <v>78</v>
      </c>
      <c r="H77" s="53"/>
      <c r="I77" s="99">
        <v>663.03277177500001</v>
      </c>
      <c r="J77" s="99">
        <v>602.75706524999998</v>
      </c>
      <c r="K77" s="47"/>
      <c r="L77" s="47"/>
      <c r="M77" s="99">
        <v>663.03277177500001</v>
      </c>
      <c r="N77" s="99">
        <v>602.75706524999998</v>
      </c>
      <c r="O77" s="47"/>
      <c r="P77" s="47"/>
      <c r="Q77" s="99">
        <v>133.94999999999999</v>
      </c>
      <c r="R77" s="99">
        <v>133.94999999999999</v>
      </c>
      <c r="S77" s="99">
        <v>133.94999999999999</v>
      </c>
      <c r="T77" s="128"/>
      <c r="U77" s="128">
        <f t="shared" si="17"/>
        <v>0</v>
      </c>
      <c r="V77" s="128"/>
      <c r="W77" s="123"/>
      <c r="X77" s="130">
        <f t="shared" si="25"/>
        <v>0</v>
      </c>
      <c r="Y77" s="47"/>
      <c r="Z77" s="29"/>
    </row>
    <row r="78" spans="1:26">
      <c r="A78" s="98" t="s">
        <v>306</v>
      </c>
      <c r="B78" s="101" t="s">
        <v>307</v>
      </c>
      <c r="C78" s="126" t="s">
        <v>308</v>
      </c>
      <c r="D78" s="126" t="s">
        <v>307</v>
      </c>
      <c r="E78" s="101"/>
      <c r="F78" s="101"/>
      <c r="G78" s="96" t="s">
        <v>78</v>
      </c>
      <c r="H78" s="53"/>
      <c r="I78" s="99">
        <v>196.45415459999998</v>
      </c>
      <c r="J78" s="99">
        <v>178.594686</v>
      </c>
      <c r="K78" s="47"/>
      <c r="L78" s="47"/>
      <c r="M78" s="99">
        <v>196.45415459999998</v>
      </c>
      <c r="N78" s="99">
        <v>178.594686</v>
      </c>
      <c r="O78" s="47"/>
      <c r="P78" s="47"/>
      <c r="Q78" s="99">
        <v>66.97</v>
      </c>
      <c r="R78" s="99">
        <v>66.97</v>
      </c>
      <c r="S78" s="99">
        <v>66.97</v>
      </c>
      <c r="T78" s="128"/>
      <c r="U78" s="128">
        <f t="shared" si="17"/>
        <v>0</v>
      </c>
      <c r="V78" s="128"/>
      <c r="W78" s="123"/>
      <c r="X78" s="130">
        <f t="shared" si="25"/>
        <v>0</v>
      </c>
      <c r="Y78" s="47"/>
      <c r="Z78" s="29"/>
    </row>
    <row r="79" spans="1:26">
      <c r="A79" s="98" t="s">
        <v>309</v>
      </c>
      <c r="B79" s="101" t="s">
        <v>21</v>
      </c>
      <c r="C79" s="126" t="s">
        <v>310</v>
      </c>
      <c r="D79" s="126" t="s">
        <v>21</v>
      </c>
      <c r="E79" s="101"/>
      <c r="F79" s="101"/>
      <c r="G79" s="96" t="s">
        <v>78</v>
      </c>
      <c r="H79" s="53"/>
      <c r="I79" s="99">
        <v>368.35153987500001</v>
      </c>
      <c r="J79" s="99">
        <v>334.86503625</v>
      </c>
      <c r="K79" s="47"/>
      <c r="L79" s="47"/>
      <c r="M79" s="99">
        <v>368.35153987500001</v>
      </c>
      <c r="N79" s="99">
        <v>334.86503625</v>
      </c>
      <c r="O79" s="47"/>
      <c r="P79" s="47"/>
      <c r="Q79" s="99">
        <v>178.59</v>
      </c>
      <c r="R79" s="99">
        <v>178.59</v>
      </c>
      <c r="S79" s="99">
        <v>178.59</v>
      </c>
      <c r="T79" s="128"/>
      <c r="U79" s="128">
        <f t="shared" si="17"/>
        <v>0</v>
      </c>
      <c r="V79" s="128"/>
      <c r="W79" s="123"/>
      <c r="X79" s="130">
        <f t="shared" si="25"/>
        <v>0</v>
      </c>
      <c r="Y79" s="47"/>
      <c r="Z79" s="29"/>
    </row>
    <row r="80" spans="1:26">
      <c r="A80" s="95" t="s">
        <v>84</v>
      </c>
      <c r="B80" s="54" t="s">
        <v>85</v>
      </c>
      <c r="C80" s="55"/>
      <c r="D80" s="50"/>
      <c r="E80" s="50"/>
      <c r="F80" s="50"/>
      <c r="G80" s="55"/>
      <c r="H80" s="56"/>
      <c r="I80" s="89">
        <f>I81+I84</f>
        <v>13096.94364</v>
      </c>
      <c r="J80" s="89">
        <f t="shared" ref="J80:Q80" si="37">J81+J84</f>
        <v>11906.312399999999</v>
      </c>
      <c r="K80" s="89">
        <f t="shared" si="37"/>
        <v>6548.4718199999998</v>
      </c>
      <c r="L80" s="89">
        <f t="shared" si="37"/>
        <v>3906</v>
      </c>
      <c r="M80" s="89">
        <f t="shared" si="37"/>
        <v>13096.94364</v>
      </c>
      <c r="N80" s="89">
        <f t="shared" si="37"/>
        <v>11906.312399999999</v>
      </c>
      <c r="O80" s="89">
        <f t="shared" si="37"/>
        <v>0</v>
      </c>
      <c r="P80" s="89">
        <f t="shared" si="37"/>
        <v>0</v>
      </c>
      <c r="Q80" s="89">
        <f t="shared" si="37"/>
        <v>4972.3641999999991</v>
      </c>
      <c r="R80" s="90">
        <f>R81+R84</f>
        <v>4706.4361999999992</v>
      </c>
      <c r="S80" s="90">
        <f>S81+S84</f>
        <v>4706.4361999999992</v>
      </c>
      <c r="T80" s="90">
        <f t="shared" ref="T80:W80" si="38">T81+T84</f>
        <v>0</v>
      </c>
      <c r="U80" s="90">
        <f>U81+U84</f>
        <v>1384.9189999999999</v>
      </c>
      <c r="V80" s="90">
        <f>V81+V84</f>
        <v>1384.9189999999999</v>
      </c>
      <c r="W80" s="576">
        <f t="shared" si="38"/>
        <v>0</v>
      </c>
      <c r="X80" s="130">
        <f t="shared" si="25"/>
        <v>29.42606552278346</v>
      </c>
      <c r="Y80" s="50"/>
      <c r="Z80" s="73"/>
    </row>
    <row r="81" spans="1:26">
      <c r="A81" s="50" t="s">
        <v>86</v>
      </c>
      <c r="B81" s="50" t="s">
        <v>207</v>
      </c>
      <c r="C81" s="55"/>
      <c r="D81" s="50"/>
      <c r="E81" s="50"/>
      <c r="F81" s="50"/>
      <c r="G81" s="55"/>
      <c r="H81" s="56"/>
      <c r="I81" s="89">
        <f>I82+I83</f>
        <v>6548.4718199999998</v>
      </c>
      <c r="J81" s="89">
        <f t="shared" ref="J81:Q81" si="39">J82+J83</f>
        <v>5953.1561999999994</v>
      </c>
      <c r="K81" s="89">
        <f t="shared" si="39"/>
        <v>6548.4718199999998</v>
      </c>
      <c r="L81" s="89">
        <f>L82+L83</f>
        <v>3906</v>
      </c>
      <c r="M81" s="89">
        <f t="shared" si="39"/>
        <v>6548.4718199999998</v>
      </c>
      <c r="N81" s="89">
        <f t="shared" si="39"/>
        <v>5953.1561999999994</v>
      </c>
      <c r="O81" s="89">
        <f t="shared" si="39"/>
        <v>0</v>
      </c>
      <c r="P81" s="89">
        <f t="shared" si="39"/>
        <v>0</v>
      </c>
      <c r="Q81" s="89">
        <f t="shared" si="39"/>
        <v>2047.1561999999994</v>
      </c>
      <c r="R81" s="90">
        <f>R82+R83</f>
        <v>2047.1561999999994</v>
      </c>
      <c r="S81" s="90">
        <f>S82+S83</f>
        <v>2047.1561999999994</v>
      </c>
      <c r="T81" s="90">
        <f t="shared" ref="T81:W81" si="40">T82+T83</f>
        <v>0</v>
      </c>
      <c r="U81" s="90">
        <f t="shared" si="40"/>
        <v>0</v>
      </c>
      <c r="V81" s="90">
        <f t="shared" si="40"/>
        <v>0</v>
      </c>
      <c r="W81" s="576">
        <f t="shared" si="40"/>
        <v>0</v>
      </c>
      <c r="X81" s="130">
        <f t="shared" si="25"/>
        <v>0</v>
      </c>
      <c r="Y81" s="50"/>
      <c r="Z81" s="73"/>
    </row>
    <row r="82" spans="1:26" ht="36">
      <c r="A82" s="39" t="s">
        <v>311</v>
      </c>
      <c r="B82" s="371" t="s">
        <v>87</v>
      </c>
      <c r="C82" s="641" t="s">
        <v>67</v>
      </c>
      <c r="D82" s="65" t="s">
        <v>141</v>
      </c>
      <c r="E82" s="63">
        <v>7985610</v>
      </c>
      <c r="F82" s="85" t="s">
        <v>234</v>
      </c>
      <c r="G82" s="44" t="s">
        <v>90</v>
      </c>
      <c r="H82" s="103" t="s">
        <v>312</v>
      </c>
      <c r="I82" s="104">
        <v>3274.2359099999999</v>
      </c>
      <c r="J82" s="104">
        <v>2976.5780999999997</v>
      </c>
      <c r="K82" s="104">
        <v>3274.2359099999999</v>
      </c>
      <c r="L82" s="104">
        <v>2000</v>
      </c>
      <c r="M82" s="104">
        <v>3274.2359099999999</v>
      </c>
      <c r="N82" s="104">
        <v>2976.5780999999997</v>
      </c>
      <c r="O82" s="42"/>
      <c r="P82" s="42"/>
      <c r="Q82" s="105">
        <f>R82</f>
        <v>976.57809999999972</v>
      </c>
      <c r="R82" s="106">
        <f>N82-L82</f>
        <v>976.57809999999972</v>
      </c>
      <c r="S82" s="106">
        <f>R82</f>
        <v>976.57809999999972</v>
      </c>
      <c r="T82" s="106"/>
      <c r="U82" s="128">
        <f t="shared" si="17"/>
        <v>0</v>
      </c>
      <c r="V82" s="106"/>
      <c r="W82" s="105"/>
      <c r="X82" s="130">
        <f t="shared" si="25"/>
        <v>0</v>
      </c>
      <c r="Y82" s="42"/>
      <c r="Z82" s="107"/>
    </row>
    <row r="83" spans="1:26" ht="22.5" customHeight="1">
      <c r="A83" s="39" t="s">
        <v>313</v>
      </c>
      <c r="B83" s="372" t="s">
        <v>89</v>
      </c>
      <c r="C83" s="633"/>
      <c r="D83" s="82" t="s">
        <v>137</v>
      </c>
      <c r="E83" s="63">
        <v>7987877</v>
      </c>
      <c r="F83" s="85" t="s">
        <v>234</v>
      </c>
      <c r="G83" s="44" t="s">
        <v>90</v>
      </c>
      <c r="H83" s="103" t="s">
        <v>314</v>
      </c>
      <c r="I83" s="104">
        <v>3274.2359099999999</v>
      </c>
      <c r="J83" s="104">
        <v>2976.5780999999997</v>
      </c>
      <c r="K83" s="104">
        <v>3274.2359099999999</v>
      </c>
      <c r="L83" s="104">
        <v>1906</v>
      </c>
      <c r="M83" s="104">
        <v>3274.2359099999999</v>
      </c>
      <c r="N83" s="104">
        <v>2976.5780999999997</v>
      </c>
      <c r="O83" s="50"/>
      <c r="P83" s="50"/>
      <c r="Q83" s="105">
        <f>R83</f>
        <v>1070.5780999999997</v>
      </c>
      <c r="R83" s="106">
        <f>N83-L83</f>
        <v>1070.5780999999997</v>
      </c>
      <c r="S83" s="106">
        <f>R83</f>
        <v>1070.5780999999997</v>
      </c>
      <c r="T83" s="90"/>
      <c r="U83" s="128">
        <f t="shared" si="17"/>
        <v>0</v>
      </c>
      <c r="V83" s="90"/>
      <c r="W83" s="573"/>
      <c r="X83" s="130">
        <f t="shared" si="25"/>
        <v>0</v>
      </c>
      <c r="Y83" s="50"/>
      <c r="Z83" s="73"/>
    </row>
    <row r="84" spans="1:26">
      <c r="A84" s="50" t="s">
        <v>88</v>
      </c>
      <c r="B84" s="373" t="s">
        <v>315</v>
      </c>
      <c r="C84" s="55"/>
      <c r="D84" s="50"/>
      <c r="E84" s="50"/>
      <c r="F84" s="50"/>
      <c r="G84" s="55"/>
      <c r="H84" s="56"/>
      <c r="I84" s="89">
        <f>SUM(I85:I86)</f>
        <v>6548.4718199999998</v>
      </c>
      <c r="J84" s="89">
        <f t="shared" ref="J84:R84" si="41">SUM(J85:J86)</f>
        <v>5953.1561999999994</v>
      </c>
      <c r="K84" s="89">
        <f t="shared" si="41"/>
        <v>0</v>
      </c>
      <c r="L84" s="89">
        <f t="shared" si="41"/>
        <v>0</v>
      </c>
      <c r="M84" s="89">
        <f t="shared" si="41"/>
        <v>6548.4718199999998</v>
      </c>
      <c r="N84" s="89">
        <f t="shared" si="41"/>
        <v>5953.1561999999994</v>
      </c>
      <c r="O84" s="89">
        <f t="shared" si="41"/>
        <v>0</v>
      </c>
      <c r="P84" s="89">
        <f t="shared" si="41"/>
        <v>0</v>
      </c>
      <c r="Q84" s="89">
        <f t="shared" si="41"/>
        <v>2925.2079999999996</v>
      </c>
      <c r="R84" s="89">
        <f t="shared" si="41"/>
        <v>2659.2799999999997</v>
      </c>
      <c r="S84" s="89">
        <f t="shared" ref="S84:W84" si="42">SUM(S85:S86)</f>
        <v>2659.2799999999997</v>
      </c>
      <c r="T84" s="89">
        <f t="shared" si="42"/>
        <v>0</v>
      </c>
      <c r="U84" s="90">
        <f t="shared" si="42"/>
        <v>1384.9189999999999</v>
      </c>
      <c r="V84" s="90">
        <f t="shared" si="42"/>
        <v>1384.9189999999999</v>
      </c>
      <c r="W84" s="573">
        <f t="shared" si="42"/>
        <v>0</v>
      </c>
      <c r="X84" s="130">
        <f t="shared" si="25"/>
        <v>52.078720555939952</v>
      </c>
      <c r="Y84" s="50"/>
      <c r="Z84" s="73"/>
    </row>
    <row r="85" spans="1:26" ht="20.25" customHeight="1">
      <c r="A85" s="39" t="s">
        <v>316</v>
      </c>
      <c r="B85" s="371" t="s">
        <v>317</v>
      </c>
      <c r="C85" s="641" t="s">
        <v>67</v>
      </c>
      <c r="D85" s="65" t="s">
        <v>52</v>
      </c>
      <c r="E85" s="65">
        <v>8006209</v>
      </c>
      <c r="F85" s="85" t="s">
        <v>234</v>
      </c>
      <c r="G85" s="52" t="s">
        <v>318</v>
      </c>
      <c r="H85" s="108" t="s">
        <v>319</v>
      </c>
      <c r="I85" s="109">
        <v>3274.2359099999999</v>
      </c>
      <c r="J85" s="109">
        <v>2976.5780999999997</v>
      </c>
      <c r="K85" s="42"/>
      <c r="L85" s="42"/>
      <c r="M85" s="109">
        <v>3274.2359099999999</v>
      </c>
      <c r="N85" s="109">
        <v>2976.5780999999997</v>
      </c>
      <c r="O85" s="42"/>
      <c r="P85" s="42"/>
      <c r="Q85" s="109">
        <f>R85+(R85*10%)</f>
        <v>1563.1</v>
      </c>
      <c r="R85" s="109">
        <v>1421</v>
      </c>
      <c r="S85" s="109">
        <v>1421</v>
      </c>
      <c r="T85" s="106"/>
      <c r="U85" s="128">
        <f t="shared" si="17"/>
        <v>1069.971</v>
      </c>
      <c r="V85" s="554">
        <v>1069.971</v>
      </c>
      <c r="W85" s="105"/>
      <c r="X85" s="130">
        <f t="shared" si="25"/>
        <v>75.297044334975368</v>
      </c>
      <c r="Y85" s="42"/>
      <c r="Z85" s="107"/>
    </row>
    <row r="86" spans="1:26" ht="36">
      <c r="A86" s="39" t="s">
        <v>320</v>
      </c>
      <c r="B86" s="371" t="s">
        <v>321</v>
      </c>
      <c r="C86" s="633"/>
      <c r="D86" s="65" t="s">
        <v>52</v>
      </c>
      <c r="E86" s="65">
        <v>8006208</v>
      </c>
      <c r="F86" s="85" t="s">
        <v>234</v>
      </c>
      <c r="G86" s="52" t="s">
        <v>322</v>
      </c>
      <c r="H86" s="108" t="s">
        <v>323</v>
      </c>
      <c r="I86" s="109">
        <v>3274.2359099999999</v>
      </c>
      <c r="J86" s="109">
        <v>2976.5780999999997</v>
      </c>
      <c r="K86" s="42"/>
      <c r="L86" s="42"/>
      <c r="M86" s="109">
        <v>3274.2359099999999</v>
      </c>
      <c r="N86" s="109">
        <v>2976.5780999999997</v>
      </c>
      <c r="O86" s="42"/>
      <c r="P86" s="42"/>
      <c r="Q86" s="109">
        <f>R86+(R86*10%)</f>
        <v>1362.1079999999999</v>
      </c>
      <c r="R86" s="99">
        <f>1421.44-183.5+0.34</f>
        <v>1238.28</v>
      </c>
      <c r="S86" s="99">
        <f>1421.44-183.5+0.34</f>
        <v>1238.28</v>
      </c>
      <c r="T86" s="106"/>
      <c r="U86" s="128">
        <f t="shared" si="17"/>
        <v>314.94799999999998</v>
      </c>
      <c r="V86" s="554">
        <v>314.94799999999998</v>
      </c>
      <c r="W86" s="105"/>
      <c r="X86" s="130">
        <f t="shared" si="25"/>
        <v>25.434312110346607</v>
      </c>
      <c r="Y86" s="42"/>
      <c r="Z86" s="107"/>
    </row>
    <row r="87" spans="1:26">
      <c r="A87" s="95">
        <v>2</v>
      </c>
      <c r="B87" s="88" t="s">
        <v>324</v>
      </c>
      <c r="C87" s="55"/>
      <c r="D87" s="50"/>
      <c r="E87" s="49"/>
      <c r="F87" s="49"/>
      <c r="G87" s="92"/>
      <c r="H87" s="93"/>
      <c r="I87" s="94">
        <f>SUM(I88:I89)</f>
        <v>59310.9</v>
      </c>
      <c r="J87" s="94">
        <f t="shared" ref="J87:Q87" si="43">SUM(J88:J89)</f>
        <v>53919</v>
      </c>
      <c r="K87" s="94">
        <f t="shared" si="43"/>
        <v>59310.9</v>
      </c>
      <c r="L87" s="94">
        <f t="shared" si="43"/>
        <v>10167</v>
      </c>
      <c r="M87" s="94">
        <f t="shared" si="43"/>
        <v>59310.9</v>
      </c>
      <c r="N87" s="94">
        <f t="shared" si="43"/>
        <v>53919</v>
      </c>
      <c r="O87" s="94">
        <f t="shared" si="43"/>
        <v>0</v>
      </c>
      <c r="P87" s="94">
        <f t="shared" si="43"/>
        <v>0</v>
      </c>
      <c r="Q87" s="94">
        <f t="shared" si="43"/>
        <v>16848</v>
      </c>
      <c r="R87" s="94">
        <f>SUM(R88:R89)</f>
        <v>16848</v>
      </c>
      <c r="S87" s="94">
        <f>SUM(S88:S89)</f>
        <v>16848</v>
      </c>
      <c r="T87" s="114">
        <f t="shared" ref="T87:W87" si="44">SUM(T88:T89)</f>
        <v>0</v>
      </c>
      <c r="U87" s="221">
        <f>SUM(U88:U89)</f>
        <v>8394.5220000000008</v>
      </c>
      <c r="V87" s="221">
        <f t="shared" si="44"/>
        <v>8394.5220000000008</v>
      </c>
      <c r="W87" s="572">
        <f t="shared" si="44"/>
        <v>0</v>
      </c>
      <c r="X87" s="130">
        <f t="shared" si="25"/>
        <v>49.825035612535615</v>
      </c>
      <c r="Y87" s="49"/>
      <c r="Z87" s="32"/>
    </row>
    <row r="88" spans="1:26" ht="36.75" customHeight="1">
      <c r="A88" s="98" t="s">
        <v>91</v>
      </c>
      <c r="B88" s="110" t="s">
        <v>93</v>
      </c>
      <c r="C88" s="641" t="s">
        <v>67</v>
      </c>
      <c r="D88" s="111" t="s">
        <v>63</v>
      </c>
      <c r="E88" s="112">
        <v>7998160</v>
      </c>
      <c r="F88" s="85" t="s">
        <v>325</v>
      </c>
      <c r="G88" s="41" t="s">
        <v>94</v>
      </c>
      <c r="H88" s="103" t="s">
        <v>326</v>
      </c>
      <c r="I88" s="109">
        <v>37310.9</v>
      </c>
      <c r="J88" s="109">
        <v>33919</v>
      </c>
      <c r="K88" s="109">
        <v>37310.9</v>
      </c>
      <c r="L88" s="109">
        <v>6567</v>
      </c>
      <c r="M88" s="109">
        <v>37310.9</v>
      </c>
      <c r="N88" s="109">
        <v>33919</v>
      </c>
      <c r="O88" s="47"/>
      <c r="P88" s="47"/>
      <c r="Q88" s="113">
        <f>R88</f>
        <v>10348</v>
      </c>
      <c r="R88" s="109">
        <v>10348</v>
      </c>
      <c r="S88" s="109">
        <v>10348</v>
      </c>
      <c r="T88" s="128"/>
      <c r="U88" s="128">
        <f t="shared" si="17"/>
        <v>7813.4059999999999</v>
      </c>
      <c r="V88" s="222">
        <f>7000+165.585+647.821</f>
        <v>7813.4059999999999</v>
      </c>
      <c r="W88" s="577">
        <v>0</v>
      </c>
      <c r="X88" s="130">
        <f>U88/R88*100</f>
        <v>75.506436026285272</v>
      </c>
      <c r="Y88" s="127"/>
      <c r="Z88" s="29"/>
    </row>
    <row r="89" spans="1:26" ht="36">
      <c r="A89" s="98" t="s">
        <v>92</v>
      </c>
      <c r="B89" s="58" t="s">
        <v>96</v>
      </c>
      <c r="C89" s="633"/>
      <c r="D89" s="65" t="s">
        <v>77</v>
      </c>
      <c r="E89" s="63">
        <v>7989024</v>
      </c>
      <c r="F89" s="85" t="s">
        <v>325</v>
      </c>
      <c r="G89" s="41" t="s">
        <v>94</v>
      </c>
      <c r="H89" s="45" t="s">
        <v>327</v>
      </c>
      <c r="I89" s="109">
        <v>22000</v>
      </c>
      <c r="J89" s="109">
        <v>20000</v>
      </c>
      <c r="K89" s="109">
        <v>22000</v>
      </c>
      <c r="L89" s="109">
        <v>3600</v>
      </c>
      <c r="M89" s="109">
        <v>22000</v>
      </c>
      <c r="N89" s="109">
        <v>20000</v>
      </c>
      <c r="O89" s="47"/>
      <c r="P89" s="47"/>
      <c r="Q89" s="113">
        <f>R89</f>
        <v>6500</v>
      </c>
      <c r="R89" s="109">
        <v>6500</v>
      </c>
      <c r="S89" s="109">
        <v>6500</v>
      </c>
      <c r="T89" s="128"/>
      <c r="U89" s="128">
        <f t="shared" si="17"/>
        <v>581.11599999999999</v>
      </c>
      <c r="V89" s="128">
        <v>581.11599999999999</v>
      </c>
      <c r="W89" s="577"/>
      <c r="X89" s="130">
        <f>U89/R89*100</f>
        <v>8.9402461538461537</v>
      </c>
      <c r="Y89" s="127"/>
      <c r="Z89" s="29"/>
    </row>
    <row r="90" spans="1:26" s="202" customFormat="1">
      <c r="A90" s="95">
        <v>3</v>
      </c>
      <c r="B90" s="102" t="s">
        <v>33</v>
      </c>
      <c r="C90" s="55"/>
      <c r="D90" s="50"/>
      <c r="E90" s="49"/>
      <c r="F90" s="49"/>
      <c r="G90" s="92"/>
      <c r="H90" s="93"/>
      <c r="I90" s="94">
        <f>I91+I103</f>
        <v>84723.257368507999</v>
      </c>
      <c r="J90" s="94">
        <f t="shared" ref="J90:R90" si="45">J91+J103</f>
        <v>77021.143062279996</v>
      </c>
      <c r="K90" s="94">
        <f t="shared" si="45"/>
        <v>60500</v>
      </c>
      <c r="L90" s="94">
        <f t="shared" si="45"/>
        <v>25314</v>
      </c>
      <c r="M90" s="94">
        <f t="shared" si="45"/>
        <v>84723.257368507999</v>
      </c>
      <c r="N90" s="94">
        <f t="shared" si="45"/>
        <v>77021.143062279996</v>
      </c>
      <c r="O90" s="94">
        <f t="shared" si="45"/>
        <v>0</v>
      </c>
      <c r="P90" s="94">
        <f t="shared" si="45"/>
        <v>0</v>
      </c>
      <c r="Q90" s="94">
        <f t="shared" si="45"/>
        <v>35773.399999999994</v>
      </c>
      <c r="R90" s="114">
        <f t="shared" si="45"/>
        <v>35219.999999999993</v>
      </c>
      <c r="S90" s="114">
        <f>S91+S103</f>
        <v>35219.999999999993</v>
      </c>
      <c r="T90" s="114">
        <f t="shared" ref="T90:W90" si="46">T91+T103</f>
        <v>0</v>
      </c>
      <c r="U90" s="114">
        <f t="shared" si="46"/>
        <v>10149.295620999999</v>
      </c>
      <c r="V90" s="114">
        <f t="shared" si="46"/>
        <v>10149.295620999999</v>
      </c>
      <c r="W90" s="578">
        <f t="shared" si="46"/>
        <v>0</v>
      </c>
      <c r="X90" s="130">
        <f>U90/R90*100</f>
        <v>28.816852984099949</v>
      </c>
      <c r="Y90" s="49"/>
      <c r="Z90" s="32"/>
    </row>
    <row r="91" spans="1:26">
      <c r="A91" s="68" t="s">
        <v>97</v>
      </c>
      <c r="B91" s="49" t="s">
        <v>207</v>
      </c>
      <c r="C91" s="55"/>
      <c r="D91" s="50"/>
      <c r="E91" s="49"/>
      <c r="F91" s="49"/>
      <c r="G91" s="92"/>
      <c r="H91" s="93"/>
      <c r="I91" s="94">
        <f>SUM(I92:I102)</f>
        <v>60500</v>
      </c>
      <c r="J91" s="94">
        <f t="shared" ref="J91:Q91" si="47">SUM(J92:J102)</f>
        <v>55000</v>
      </c>
      <c r="K91" s="94">
        <f t="shared" si="47"/>
        <v>60500</v>
      </c>
      <c r="L91" s="94">
        <f t="shared" si="47"/>
        <v>25314</v>
      </c>
      <c r="M91" s="94">
        <f t="shared" si="47"/>
        <v>60500</v>
      </c>
      <c r="N91" s="94">
        <f t="shared" si="47"/>
        <v>55000</v>
      </c>
      <c r="O91" s="94">
        <f t="shared" si="47"/>
        <v>0</v>
      </c>
      <c r="P91" s="94">
        <f t="shared" si="47"/>
        <v>0</v>
      </c>
      <c r="Q91" s="94">
        <f t="shared" si="47"/>
        <v>29685.999999999993</v>
      </c>
      <c r="R91" s="114">
        <f>SUM(R92:R102)</f>
        <v>29685.999999999993</v>
      </c>
      <c r="S91" s="114">
        <f>SUM(S92:S102)</f>
        <v>29685.999999999993</v>
      </c>
      <c r="T91" s="114">
        <f t="shared" ref="T91:W91" si="48">SUM(T92:T102)</f>
        <v>0</v>
      </c>
      <c r="U91" s="114">
        <f t="shared" si="48"/>
        <v>9542.584621</v>
      </c>
      <c r="V91" s="114">
        <f t="shared" si="48"/>
        <v>9542.584621</v>
      </c>
      <c r="W91" s="578">
        <f t="shared" si="48"/>
        <v>0</v>
      </c>
      <c r="X91" s="114"/>
      <c r="Y91" s="49"/>
      <c r="Z91" s="32"/>
    </row>
    <row r="92" spans="1:26" ht="36">
      <c r="A92" s="77" t="s">
        <v>328</v>
      </c>
      <c r="B92" s="115" t="s">
        <v>329</v>
      </c>
      <c r="C92" s="41" t="s">
        <v>330</v>
      </c>
      <c r="D92" s="63" t="s">
        <v>42</v>
      </c>
      <c r="E92" s="85">
        <v>7986338</v>
      </c>
      <c r="F92" s="85" t="s">
        <v>331</v>
      </c>
      <c r="G92" s="116" t="s">
        <v>90</v>
      </c>
      <c r="H92" s="87" t="s">
        <v>332</v>
      </c>
      <c r="I92" s="23">
        <v>5500</v>
      </c>
      <c r="J92" s="23">
        <v>5000</v>
      </c>
      <c r="K92" s="23">
        <v>5500</v>
      </c>
      <c r="L92" s="24">
        <v>2215.4</v>
      </c>
      <c r="M92" s="23">
        <v>5500</v>
      </c>
      <c r="N92" s="23">
        <v>5000</v>
      </c>
      <c r="O92" s="80"/>
      <c r="P92" s="80"/>
      <c r="Q92" s="117">
        <f>R92</f>
        <v>2784.6</v>
      </c>
      <c r="R92" s="117">
        <f>N92-L92</f>
        <v>2784.6</v>
      </c>
      <c r="S92" s="117">
        <f>R92</f>
        <v>2784.6</v>
      </c>
      <c r="T92" s="129"/>
      <c r="U92" s="128">
        <f t="shared" si="17"/>
        <v>1028.4570000000001</v>
      </c>
      <c r="V92" s="129">
        <v>1028.4570000000001</v>
      </c>
      <c r="W92" s="575"/>
      <c r="X92" s="130">
        <f>U92/R92*100</f>
        <v>36.933742727860377</v>
      </c>
      <c r="Y92" s="80"/>
      <c r="Z92" s="81"/>
    </row>
    <row r="93" spans="1:26" ht="36">
      <c r="A93" s="39" t="s">
        <v>333</v>
      </c>
      <c r="B93" s="110" t="s">
        <v>334</v>
      </c>
      <c r="C93" s="59" t="s">
        <v>335</v>
      </c>
      <c r="D93" s="65" t="s">
        <v>63</v>
      </c>
      <c r="E93" s="58">
        <v>7986345</v>
      </c>
      <c r="F93" s="85" t="s">
        <v>331</v>
      </c>
      <c r="G93" s="52" t="s">
        <v>90</v>
      </c>
      <c r="H93" s="108" t="s">
        <v>336</v>
      </c>
      <c r="I93" s="109">
        <v>5500</v>
      </c>
      <c r="J93" s="109">
        <v>5000</v>
      </c>
      <c r="K93" s="109">
        <v>5500</v>
      </c>
      <c r="L93" s="99">
        <v>2190</v>
      </c>
      <c r="M93" s="109">
        <v>5500</v>
      </c>
      <c r="N93" s="109">
        <v>5000</v>
      </c>
      <c r="O93" s="47"/>
      <c r="P93" s="47"/>
      <c r="Q93" s="117">
        <f t="shared" ref="Q93:Q102" si="49">R93</f>
        <v>2810</v>
      </c>
      <c r="R93" s="100">
        <f t="shared" ref="R93:R102" si="50">N93-L93</f>
        <v>2810</v>
      </c>
      <c r="S93" s="117">
        <f t="shared" ref="S93:S102" si="51">R93</f>
        <v>2810</v>
      </c>
      <c r="T93" s="128"/>
      <c r="U93" s="128">
        <f t="shared" si="17"/>
        <v>0</v>
      </c>
      <c r="V93" s="114"/>
      <c r="W93" s="123"/>
      <c r="X93" s="130">
        <f t="shared" ref="X93:X104" si="52">U93/R93*100</f>
        <v>0</v>
      </c>
      <c r="Y93" s="47"/>
      <c r="Z93" s="29"/>
    </row>
    <row r="94" spans="1:26" ht="36">
      <c r="A94" s="39" t="s">
        <v>337</v>
      </c>
      <c r="B94" s="110" t="s">
        <v>338</v>
      </c>
      <c r="C94" s="218" t="s">
        <v>339</v>
      </c>
      <c r="D94" s="98" t="s">
        <v>44</v>
      </c>
      <c r="E94" s="110">
        <v>7985612</v>
      </c>
      <c r="F94" s="85" t="s">
        <v>331</v>
      </c>
      <c r="G94" s="52" t="s">
        <v>90</v>
      </c>
      <c r="H94" s="108" t="s">
        <v>340</v>
      </c>
      <c r="I94" s="109">
        <v>5500</v>
      </c>
      <c r="J94" s="109">
        <v>5000</v>
      </c>
      <c r="K94" s="109">
        <v>5500</v>
      </c>
      <c r="L94" s="99">
        <v>2289.0500000000002</v>
      </c>
      <c r="M94" s="109">
        <v>5500</v>
      </c>
      <c r="N94" s="109">
        <v>5000</v>
      </c>
      <c r="O94" s="49"/>
      <c r="P94" s="49"/>
      <c r="Q94" s="117">
        <f t="shared" si="49"/>
        <v>2710.95</v>
      </c>
      <c r="R94" s="100">
        <f t="shared" si="50"/>
        <v>2710.95</v>
      </c>
      <c r="S94" s="117">
        <f t="shared" si="51"/>
        <v>2710.95</v>
      </c>
      <c r="T94" s="114"/>
      <c r="U94" s="128">
        <f t="shared" si="17"/>
        <v>0</v>
      </c>
      <c r="V94" s="114"/>
      <c r="W94" s="572"/>
      <c r="X94" s="130">
        <f t="shared" si="52"/>
        <v>0</v>
      </c>
      <c r="Y94" s="49"/>
      <c r="Z94" s="32"/>
    </row>
    <row r="95" spans="1:26" ht="36">
      <c r="A95" s="39" t="s">
        <v>341</v>
      </c>
      <c r="B95" s="110" t="s">
        <v>342</v>
      </c>
      <c r="C95" s="218" t="s">
        <v>343</v>
      </c>
      <c r="D95" s="98" t="s">
        <v>52</v>
      </c>
      <c r="E95" s="110">
        <v>7985611</v>
      </c>
      <c r="F95" s="85" t="s">
        <v>331</v>
      </c>
      <c r="G95" s="52" t="s">
        <v>90</v>
      </c>
      <c r="H95" s="108" t="s">
        <v>344</v>
      </c>
      <c r="I95" s="109">
        <v>5500</v>
      </c>
      <c r="J95" s="109">
        <v>5000</v>
      </c>
      <c r="K95" s="109">
        <v>5500</v>
      </c>
      <c r="L95" s="99">
        <v>2286.12</v>
      </c>
      <c r="M95" s="109">
        <v>5500</v>
      </c>
      <c r="N95" s="109">
        <v>5000</v>
      </c>
      <c r="O95" s="47"/>
      <c r="P95" s="47"/>
      <c r="Q95" s="117">
        <f t="shared" si="49"/>
        <v>2713.88</v>
      </c>
      <c r="R95" s="100">
        <f t="shared" si="50"/>
        <v>2713.88</v>
      </c>
      <c r="S95" s="117">
        <f t="shared" si="51"/>
        <v>2713.88</v>
      </c>
      <c r="T95" s="128"/>
      <c r="U95" s="128">
        <f t="shared" si="17"/>
        <v>0</v>
      </c>
      <c r="V95" s="114"/>
      <c r="W95" s="123"/>
      <c r="X95" s="130">
        <f t="shared" si="52"/>
        <v>0</v>
      </c>
      <c r="Y95" s="47"/>
      <c r="Z95" s="29"/>
    </row>
    <row r="96" spans="1:26" ht="36">
      <c r="A96" s="39" t="s">
        <v>345</v>
      </c>
      <c r="B96" s="110" t="s">
        <v>346</v>
      </c>
      <c r="C96" s="218" t="s">
        <v>347</v>
      </c>
      <c r="D96" s="98" t="s">
        <v>51</v>
      </c>
      <c r="E96" s="110">
        <v>7983751</v>
      </c>
      <c r="F96" s="85" t="s">
        <v>331</v>
      </c>
      <c r="G96" s="52" t="s">
        <v>90</v>
      </c>
      <c r="H96" s="108" t="s">
        <v>348</v>
      </c>
      <c r="I96" s="109">
        <v>5500</v>
      </c>
      <c r="J96" s="109">
        <v>5000</v>
      </c>
      <c r="K96" s="109">
        <v>5500</v>
      </c>
      <c r="L96" s="99">
        <v>2400.64</v>
      </c>
      <c r="M96" s="109">
        <v>5500</v>
      </c>
      <c r="N96" s="109">
        <v>5000</v>
      </c>
      <c r="O96" s="49"/>
      <c r="P96" s="49"/>
      <c r="Q96" s="117">
        <f t="shared" si="49"/>
        <v>2599.36</v>
      </c>
      <c r="R96" s="100">
        <f t="shared" si="50"/>
        <v>2599.36</v>
      </c>
      <c r="S96" s="117">
        <f t="shared" si="51"/>
        <v>2599.36</v>
      </c>
      <c r="T96" s="114"/>
      <c r="U96" s="128">
        <f t="shared" si="17"/>
        <v>2488.5</v>
      </c>
      <c r="V96" s="128">
        <v>2488.5</v>
      </c>
      <c r="W96" s="572"/>
      <c r="X96" s="130">
        <f t="shared" si="52"/>
        <v>95.735104025606304</v>
      </c>
      <c r="Y96" s="49"/>
      <c r="Z96" s="32"/>
    </row>
    <row r="97" spans="1:26" ht="36">
      <c r="A97" s="39" t="s">
        <v>349</v>
      </c>
      <c r="B97" s="110" t="s">
        <v>350</v>
      </c>
      <c r="C97" s="218" t="s">
        <v>351</v>
      </c>
      <c r="D97" s="98" t="s">
        <v>45</v>
      </c>
      <c r="E97" s="115">
        <v>7983753</v>
      </c>
      <c r="F97" s="85" t="s">
        <v>331</v>
      </c>
      <c r="G97" s="52" t="s">
        <v>90</v>
      </c>
      <c r="H97" s="108" t="s">
        <v>352</v>
      </c>
      <c r="I97" s="109">
        <v>5500</v>
      </c>
      <c r="J97" s="109">
        <v>5000</v>
      </c>
      <c r="K97" s="109">
        <v>5500</v>
      </c>
      <c r="L97" s="99">
        <v>2428.04</v>
      </c>
      <c r="M97" s="109">
        <v>5500</v>
      </c>
      <c r="N97" s="109">
        <v>5000</v>
      </c>
      <c r="O97" s="49"/>
      <c r="P97" s="49"/>
      <c r="Q97" s="117">
        <f t="shared" si="49"/>
        <v>2571.96</v>
      </c>
      <c r="R97" s="100">
        <f t="shared" si="50"/>
        <v>2571.96</v>
      </c>
      <c r="S97" s="117">
        <f t="shared" si="51"/>
        <v>2571.96</v>
      </c>
      <c r="T97" s="114"/>
      <c r="U97" s="128">
        <f t="shared" si="17"/>
        <v>2399.745621</v>
      </c>
      <c r="V97" s="128">
        <f>2269.35914+95.9902+17.198+17.198281</f>
        <v>2399.745621</v>
      </c>
      <c r="W97" s="572"/>
      <c r="X97" s="130">
        <f t="shared" si="52"/>
        <v>93.304157957355486</v>
      </c>
      <c r="Y97" s="49"/>
      <c r="Z97" s="32"/>
    </row>
    <row r="98" spans="1:26" ht="36">
      <c r="A98" s="39" t="s">
        <v>353</v>
      </c>
      <c r="B98" s="110" t="s">
        <v>354</v>
      </c>
      <c r="C98" s="218" t="s">
        <v>355</v>
      </c>
      <c r="D98" s="98" t="s">
        <v>46</v>
      </c>
      <c r="E98" s="110">
        <v>7983752</v>
      </c>
      <c r="F98" s="85" t="s">
        <v>331</v>
      </c>
      <c r="G98" s="52" t="s">
        <v>90</v>
      </c>
      <c r="H98" s="108" t="s">
        <v>356</v>
      </c>
      <c r="I98" s="109">
        <v>5500</v>
      </c>
      <c r="J98" s="109">
        <v>5000</v>
      </c>
      <c r="K98" s="109">
        <v>5500</v>
      </c>
      <c r="L98" s="99">
        <v>2448.7600000000002</v>
      </c>
      <c r="M98" s="109">
        <v>5500</v>
      </c>
      <c r="N98" s="109">
        <v>5000</v>
      </c>
      <c r="O98" s="49"/>
      <c r="P98" s="49"/>
      <c r="Q98" s="117">
        <f t="shared" si="49"/>
        <v>2551.2399999999998</v>
      </c>
      <c r="R98" s="100">
        <f t="shared" si="50"/>
        <v>2551.2399999999998</v>
      </c>
      <c r="S98" s="117">
        <f t="shared" si="51"/>
        <v>2551.2399999999998</v>
      </c>
      <c r="T98" s="114"/>
      <c r="U98" s="128">
        <f t="shared" ref="U98:U129" si="53">V98+W98</f>
        <v>0</v>
      </c>
      <c r="V98" s="128"/>
      <c r="W98" s="572"/>
      <c r="X98" s="130">
        <f t="shared" si="52"/>
        <v>0</v>
      </c>
      <c r="Y98" s="49"/>
      <c r="Z98" s="32"/>
    </row>
    <row r="99" spans="1:26" ht="36">
      <c r="A99" s="39" t="s">
        <v>357</v>
      </c>
      <c r="B99" s="110" t="s">
        <v>358</v>
      </c>
      <c r="C99" s="218" t="s">
        <v>359</v>
      </c>
      <c r="D99" s="98" t="s">
        <v>64</v>
      </c>
      <c r="E99" s="110">
        <v>7986339</v>
      </c>
      <c r="F99" s="85" t="s">
        <v>331</v>
      </c>
      <c r="G99" s="52" t="s">
        <v>90</v>
      </c>
      <c r="H99" s="108" t="s">
        <v>360</v>
      </c>
      <c r="I99" s="109">
        <v>5500</v>
      </c>
      <c r="J99" s="109">
        <v>5000</v>
      </c>
      <c r="K99" s="109">
        <v>5500</v>
      </c>
      <c r="L99" s="99">
        <v>2272.61</v>
      </c>
      <c r="M99" s="109">
        <v>5500</v>
      </c>
      <c r="N99" s="109">
        <v>5000</v>
      </c>
      <c r="O99" s="47"/>
      <c r="P99" s="47"/>
      <c r="Q99" s="117">
        <f t="shared" si="49"/>
        <v>2727.39</v>
      </c>
      <c r="R99" s="100">
        <f t="shared" si="50"/>
        <v>2727.39</v>
      </c>
      <c r="S99" s="117">
        <f t="shared" si="51"/>
        <v>2727.39</v>
      </c>
      <c r="T99" s="128"/>
      <c r="U99" s="128">
        <f t="shared" si="53"/>
        <v>1119.2919999999999</v>
      </c>
      <c r="V99" s="128">
        <v>1119.2919999999999</v>
      </c>
      <c r="W99" s="123"/>
      <c r="X99" s="130">
        <f t="shared" si="52"/>
        <v>41.038941992161007</v>
      </c>
      <c r="Y99" s="47"/>
      <c r="Z99" s="29"/>
    </row>
    <row r="100" spans="1:26" ht="36">
      <c r="A100" s="39" t="s">
        <v>361</v>
      </c>
      <c r="B100" s="110" t="s">
        <v>362</v>
      </c>
      <c r="C100" s="218" t="s">
        <v>363</v>
      </c>
      <c r="D100" s="98" t="s">
        <v>62</v>
      </c>
      <c r="E100" s="115">
        <v>7985613</v>
      </c>
      <c r="F100" s="85" t="s">
        <v>331</v>
      </c>
      <c r="G100" s="44" t="s">
        <v>90</v>
      </c>
      <c r="H100" s="119" t="s">
        <v>364</v>
      </c>
      <c r="I100" s="109">
        <v>5500</v>
      </c>
      <c r="J100" s="109">
        <v>5000</v>
      </c>
      <c r="K100" s="109">
        <v>5500</v>
      </c>
      <c r="L100" s="99">
        <v>2202.5100000000002</v>
      </c>
      <c r="M100" s="109">
        <v>5500</v>
      </c>
      <c r="N100" s="109">
        <v>5000</v>
      </c>
      <c r="O100" s="47"/>
      <c r="P100" s="47"/>
      <c r="Q100" s="117">
        <f t="shared" si="49"/>
        <v>2797.49</v>
      </c>
      <c r="R100" s="100">
        <f t="shared" si="50"/>
        <v>2797.49</v>
      </c>
      <c r="S100" s="117">
        <f t="shared" si="51"/>
        <v>2797.49</v>
      </c>
      <c r="T100" s="128"/>
      <c r="U100" s="128">
        <f t="shared" si="53"/>
        <v>2506.59</v>
      </c>
      <c r="V100" s="128">
        <v>2506.59</v>
      </c>
      <c r="W100" s="123"/>
      <c r="X100" s="130">
        <f t="shared" si="52"/>
        <v>89.601392677006899</v>
      </c>
      <c r="Y100" s="47"/>
      <c r="Z100" s="29"/>
    </row>
    <row r="101" spans="1:26" ht="36">
      <c r="A101" s="39" t="s">
        <v>365</v>
      </c>
      <c r="B101" s="110" t="s">
        <v>366</v>
      </c>
      <c r="C101" s="218" t="s">
        <v>367</v>
      </c>
      <c r="D101" s="98" t="s">
        <v>65</v>
      </c>
      <c r="E101" s="110">
        <v>7985605</v>
      </c>
      <c r="F101" s="85" t="s">
        <v>331</v>
      </c>
      <c r="G101" s="52" t="s">
        <v>90</v>
      </c>
      <c r="H101" s="108" t="s">
        <v>368</v>
      </c>
      <c r="I101" s="109">
        <v>5500</v>
      </c>
      <c r="J101" s="109">
        <v>5000</v>
      </c>
      <c r="K101" s="109">
        <v>5500</v>
      </c>
      <c r="L101" s="99">
        <v>2299.81</v>
      </c>
      <c r="M101" s="109">
        <v>5500</v>
      </c>
      <c r="N101" s="109">
        <v>5000</v>
      </c>
      <c r="O101" s="47"/>
      <c r="P101" s="47"/>
      <c r="Q101" s="117">
        <f t="shared" si="49"/>
        <v>2700.19</v>
      </c>
      <c r="R101" s="100">
        <f t="shared" si="50"/>
        <v>2700.19</v>
      </c>
      <c r="S101" s="117">
        <f t="shared" si="51"/>
        <v>2700.19</v>
      </c>
      <c r="T101" s="128"/>
      <c r="U101" s="128">
        <f t="shared" si="53"/>
        <v>0</v>
      </c>
      <c r="V101" s="128"/>
      <c r="W101" s="123"/>
      <c r="X101" s="130">
        <f t="shared" si="52"/>
        <v>0</v>
      </c>
      <c r="Y101" s="47"/>
      <c r="Z101" s="29"/>
    </row>
    <row r="102" spans="1:26" ht="36">
      <c r="A102" s="39" t="s">
        <v>369</v>
      </c>
      <c r="B102" s="110" t="s">
        <v>370</v>
      </c>
      <c r="C102" s="218" t="s">
        <v>371</v>
      </c>
      <c r="D102" s="98" t="s">
        <v>66</v>
      </c>
      <c r="E102" s="110">
        <v>7986347</v>
      </c>
      <c r="F102" s="85" t="s">
        <v>331</v>
      </c>
      <c r="G102" s="52" t="s">
        <v>90</v>
      </c>
      <c r="H102" s="108" t="s">
        <v>372</v>
      </c>
      <c r="I102" s="109">
        <v>5500</v>
      </c>
      <c r="J102" s="109">
        <v>5000</v>
      </c>
      <c r="K102" s="109">
        <v>5500</v>
      </c>
      <c r="L102" s="99">
        <v>2281.06</v>
      </c>
      <c r="M102" s="109">
        <v>5500</v>
      </c>
      <c r="N102" s="109">
        <v>5000</v>
      </c>
      <c r="O102" s="47"/>
      <c r="P102" s="47"/>
      <c r="Q102" s="117">
        <f t="shared" si="49"/>
        <v>2718.94</v>
      </c>
      <c r="R102" s="100">
        <f t="shared" si="50"/>
        <v>2718.94</v>
      </c>
      <c r="S102" s="117">
        <f t="shared" si="51"/>
        <v>2718.94</v>
      </c>
      <c r="T102" s="128"/>
      <c r="U102" s="128">
        <f t="shared" si="53"/>
        <v>0</v>
      </c>
      <c r="V102" s="128"/>
      <c r="W102" s="123"/>
      <c r="X102" s="130">
        <f t="shared" si="52"/>
        <v>0</v>
      </c>
      <c r="Y102" s="47"/>
      <c r="Z102" s="29"/>
    </row>
    <row r="103" spans="1:26">
      <c r="A103" s="120" t="s">
        <v>98</v>
      </c>
      <c r="B103" s="49" t="s">
        <v>315</v>
      </c>
      <c r="C103" s="55"/>
      <c r="D103" s="50"/>
      <c r="E103" s="49"/>
      <c r="F103" s="49"/>
      <c r="G103" s="92"/>
      <c r="H103" s="93"/>
      <c r="I103" s="94">
        <f>SUM(I104:I105)</f>
        <v>24223.257368507999</v>
      </c>
      <c r="J103" s="94">
        <f t="shared" ref="J103:R103" si="54">SUM(J104:J105)</f>
        <v>22021.14306228</v>
      </c>
      <c r="K103" s="94">
        <f t="shared" si="54"/>
        <v>0</v>
      </c>
      <c r="L103" s="94">
        <f t="shared" si="54"/>
        <v>0</v>
      </c>
      <c r="M103" s="94">
        <f t="shared" si="54"/>
        <v>24223.257368507999</v>
      </c>
      <c r="N103" s="94">
        <f t="shared" si="54"/>
        <v>22021.14306228</v>
      </c>
      <c r="O103" s="94">
        <f t="shared" si="54"/>
        <v>0</v>
      </c>
      <c r="P103" s="94">
        <f t="shared" si="54"/>
        <v>0</v>
      </c>
      <c r="Q103" s="94">
        <f t="shared" si="54"/>
        <v>6087.4000000000005</v>
      </c>
      <c r="R103" s="94">
        <f t="shared" si="54"/>
        <v>5534</v>
      </c>
      <c r="S103" s="94">
        <f t="shared" ref="S103:W103" si="55">SUM(S104:S105)</f>
        <v>5534</v>
      </c>
      <c r="T103" s="94">
        <f t="shared" si="55"/>
        <v>0</v>
      </c>
      <c r="U103" s="128">
        <f t="shared" si="53"/>
        <v>606.71100000000001</v>
      </c>
      <c r="V103" s="128">
        <f t="shared" si="55"/>
        <v>606.71100000000001</v>
      </c>
      <c r="W103" s="572">
        <f t="shared" si="55"/>
        <v>0</v>
      </c>
      <c r="X103" s="130">
        <f t="shared" si="52"/>
        <v>10.963335742681606</v>
      </c>
      <c r="Y103" s="49"/>
      <c r="Z103" s="32"/>
    </row>
    <row r="104" spans="1:26" ht="30">
      <c r="A104" s="121" t="s">
        <v>373</v>
      </c>
      <c r="B104" s="58" t="s">
        <v>374</v>
      </c>
      <c r="C104" s="59" t="s">
        <v>67</v>
      </c>
      <c r="D104" s="65" t="s">
        <v>51</v>
      </c>
      <c r="E104" s="65"/>
      <c r="F104" s="65"/>
      <c r="G104" s="52" t="s">
        <v>322</v>
      </c>
      <c r="H104" s="53"/>
      <c r="I104" s="109">
        <v>4516.2005263319998</v>
      </c>
      <c r="J104" s="109">
        <v>4105.6368421199995</v>
      </c>
      <c r="K104" s="47"/>
      <c r="L104" s="47"/>
      <c r="M104" s="109">
        <v>4516.2005263319998</v>
      </c>
      <c r="N104" s="109">
        <v>4105.6368421199995</v>
      </c>
      <c r="O104" s="47"/>
      <c r="P104" s="47"/>
      <c r="Q104" s="109">
        <f>R104+(R104*10%)</f>
        <v>666.6</v>
      </c>
      <c r="R104" s="109">
        <v>606</v>
      </c>
      <c r="S104" s="109">
        <v>606</v>
      </c>
      <c r="T104" s="128"/>
      <c r="U104" s="128">
        <f t="shared" si="53"/>
        <v>0</v>
      </c>
      <c r="V104" s="128"/>
      <c r="W104" s="123"/>
      <c r="X104" s="130">
        <f t="shared" si="52"/>
        <v>0</v>
      </c>
      <c r="Y104" s="47"/>
      <c r="Z104" s="29"/>
    </row>
    <row r="105" spans="1:26" ht="36">
      <c r="A105" s="121" t="s">
        <v>375</v>
      </c>
      <c r="B105" s="58" t="s">
        <v>376</v>
      </c>
      <c r="C105" s="59" t="s">
        <v>67</v>
      </c>
      <c r="D105" s="65" t="s">
        <v>377</v>
      </c>
      <c r="E105" s="63">
        <v>7994274</v>
      </c>
      <c r="F105" s="63" t="s">
        <v>194</v>
      </c>
      <c r="G105" s="44" t="s">
        <v>322</v>
      </c>
      <c r="H105" s="45" t="s">
        <v>378</v>
      </c>
      <c r="I105" s="109">
        <v>19707.056842176</v>
      </c>
      <c r="J105" s="109">
        <v>17915.506220160001</v>
      </c>
      <c r="K105" s="47"/>
      <c r="L105" s="47"/>
      <c r="M105" s="109">
        <v>19707.056842176</v>
      </c>
      <c r="N105" s="109">
        <v>17915.506220160001</v>
      </c>
      <c r="O105" s="47"/>
      <c r="P105" s="47"/>
      <c r="Q105" s="109">
        <f>R105+(R105*10%)</f>
        <v>5420.8</v>
      </c>
      <c r="R105" s="109">
        <v>4928</v>
      </c>
      <c r="S105" s="109">
        <v>4928</v>
      </c>
      <c r="T105" s="128"/>
      <c r="U105" s="128">
        <f t="shared" si="53"/>
        <v>606.71100000000001</v>
      </c>
      <c r="V105" s="223">
        <f>112.616+494.095</f>
        <v>606.71100000000001</v>
      </c>
      <c r="W105" s="123"/>
      <c r="X105" s="130">
        <f>U105/R105*100</f>
        <v>12.311505681818181</v>
      </c>
      <c r="Y105" s="47"/>
      <c r="Z105" s="29"/>
    </row>
    <row r="106" spans="1:26">
      <c r="A106" s="95">
        <v>4</v>
      </c>
      <c r="B106" s="102" t="s">
        <v>379</v>
      </c>
      <c r="C106" s="52"/>
      <c r="D106" s="42"/>
      <c r="E106" s="47"/>
      <c r="F106" s="47"/>
      <c r="G106" s="96"/>
      <c r="H106" s="53"/>
      <c r="I106" s="94">
        <f>SUM(I107:I113)</f>
        <v>35038</v>
      </c>
      <c r="J106" s="94">
        <f t="shared" ref="J106:R106" si="56">SUM(J107:J113)</f>
        <v>31859</v>
      </c>
      <c r="K106" s="94">
        <f t="shared" si="56"/>
        <v>35038</v>
      </c>
      <c r="L106" s="94">
        <f t="shared" si="56"/>
        <v>8678</v>
      </c>
      <c r="M106" s="94">
        <f t="shared" si="56"/>
        <v>35038</v>
      </c>
      <c r="N106" s="94">
        <f t="shared" si="56"/>
        <v>31859</v>
      </c>
      <c r="O106" s="94">
        <f t="shared" si="56"/>
        <v>0</v>
      </c>
      <c r="P106" s="94">
        <f t="shared" si="56"/>
        <v>0</v>
      </c>
      <c r="Q106" s="94">
        <f t="shared" si="56"/>
        <v>11633</v>
      </c>
      <c r="R106" s="94">
        <f t="shared" si="56"/>
        <v>11633</v>
      </c>
      <c r="S106" s="94">
        <f t="shared" ref="S106" si="57">SUM(S107:S113)</f>
        <v>11633</v>
      </c>
      <c r="T106" s="128"/>
      <c r="U106" s="128">
        <f t="shared" si="53"/>
        <v>0</v>
      </c>
      <c r="V106" s="128"/>
      <c r="W106" s="123"/>
      <c r="X106" s="128"/>
      <c r="Y106" s="47"/>
      <c r="Z106" s="29"/>
    </row>
    <row r="107" spans="1:26" ht="34.5" customHeight="1">
      <c r="A107" s="98" t="s">
        <v>99</v>
      </c>
      <c r="B107" s="110" t="s">
        <v>380</v>
      </c>
      <c r="C107" s="641" t="s">
        <v>67</v>
      </c>
      <c r="D107" s="65" t="s">
        <v>22</v>
      </c>
      <c r="E107" s="65">
        <v>7970456</v>
      </c>
      <c r="F107" s="65" t="s">
        <v>381</v>
      </c>
      <c r="G107" s="59" t="s">
        <v>94</v>
      </c>
      <c r="H107" s="66" t="s">
        <v>382</v>
      </c>
      <c r="I107" s="109">
        <f>1229+765+765+2556</f>
        <v>5315</v>
      </c>
      <c r="J107" s="109">
        <f>1117+696+696+2324</f>
        <v>4833</v>
      </c>
      <c r="K107" s="109">
        <f>1229+765+765+2556</f>
        <v>5315</v>
      </c>
      <c r="L107" s="109">
        <f>670+696</f>
        <v>1366</v>
      </c>
      <c r="M107" s="109">
        <f>1229+765+765+2556</f>
        <v>5315</v>
      </c>
      <c r="N107" s="109">
        <f>1117+696+696+2324</f>
        <v>4833</v>
      </c>
      <c r="O107" s="47"/>
      <c r="P107" s="47"/>
      <c r="Q107" s="113">
        <f>R107</f>
        <v>1437</v>
      </c>
      <c r="R107" s="109">
        <v>1437</v>
      </c>
      <c r="S107" s="109">
        <v>1437</v>
      </c>
      <c r="T107" s="128"/>
      <c r="U107" s="128">
        <f t="shared" si="53"/>
        <v>0</v>
      </c>
      <c r="V107" s="128"/>
      <c r="W107" s="123"/>
      <c r="X107" s="130">
        <f>U107/R107*100</f>
        <v>0</v>
      </c>
      <c r="Y107" s="47"/>
      <c r="Z107" s="29"/>
    </row>
    <row r="108" spans="1:26" ht="34.5" customHeight="1">
      <c r="A108" s="98" t="s">
        <v>102</v>
      </c>
      <c r="B108" s="110" t="s">
        <v>383</v>
      </c>
      <c r="C108" s="642"/>
      <c r="D108" s="65" t="s">
        <v>21</v>
      </c>
      <c r="E108" s="65">
        <v>7974807</v>
      </c>
      <c r="F108" s="65" t="s">
        <v>381</v>
      </c>
      <c r="G108" s="59" t="s">
        <v>94</v>
      </c>
      <c r="H108" s="66" t="s">
        <v>384</v>
      </c>
      <c r="I108" s="109">
        <f>983+765+1917</f>
        <v>3665</v>
      </c>
      <c r="J108" s="109">
        <f>894+696+1743</f>
        <v>3333</v>
      </c>
      <c r="K108" s="109">
        <f>983+765+1917</f>
        <v>3665</v>
      </c>
      <c r="L108" s="109">
        <f>696</f>
        <v>696</v>
      </c>
      <c r="M108" s="109">
        <f>983+765+1917</f>
        <v>3665</v>
      </c>
      <c r="N108" s="109">
        <f>894+696+1743</f>
        <v>3333</v>
      </c>
      <c r="O108" s="47"/>
      <c r="P108" s="47"/>
      <c r="Q108" s="113">
        <f t="shared" ref="Q108:Q113" si="58">R108</f>
        <v>1637</v>
      </c>
      <c r="R108" s="109">
        <v>1637</v>
      </c>
      <c r="S108" s="109">
        <v>1637</v>
      </c>
      <c r="T108" s="128"/>
      <c r="U108" s="128">
        <f t="shared" si="53"/>
        <v>0</v>
      </c>
      <c r="V108" s="128"/>
      <c r="W108" s="123"/>
      <c r="X108" s="130">
        <f t="shared" ref="X108:X170" si="59">U108/R108*100</f>
        <v>0</v>
      </c>
      <c r="Y108" s="47"/>
      <c r="Z108" s="29"/>
    </row>
    <row r="109" spans="1:26" ht="34.5" customHeight="1">
      <c r="A109" s="98" t="s">
        <v>103</v>
      </c>
      <c r="B109" s="110" t="s">
        <v>385</v>
      </c>
      <c r="C109" s="642"/>
      <c r="D109" s="65" t="s">
        <v>19</v>
      </c>
      <c r="E109" s="65">
        <v>7971598</v>
      </c>
      <c r="F109" s="65" t="s">
        <v>381</v>
      </c>
      <c r="G109" s="59" t="s">
        <v>94</v>
      </c>
      <c r="H109" s="66" t="s">
        <v>386</v>
      </c>
      <c r="I109" s="109">
        <f>4179+1530+765+2556</f>
        <v>9030</v>
      </c>
      <c r="J109" s="109">
        <f>3799+1391+696+2324</f>
        <v>8210</v>
      </c>
      <c r="K109" s="109">
        <f>4179+1530+765+2556</f>
        <v>9030</v>
      </c>
      <c r="L109" s="109">
        <v>1391</v>
      </c>
      <c r="M109" s="109">
        <f>4179+1530+765+2556</f>
        <v>9030</v>
      </c>
      <c r="N109" s="109">
        <f>3799+1391+696+2324</f>
        <v>8210</v>
      </c>
      <c r="O109" s="47"/>
      <c r="P109" s="47"/>
      <c r="Q109" s="113">
        <f t="shared" si="58"/>
        <v>3105</v>
      </c>
      <c r="R109" s="109">
        <v>3105</v>
      </c>
      <c r="S109" s="109">
        <v>3105</v>
      </c>
      <c r="T109" s="128"/>
      <c r="U109" s="128">
        <f t="shared" si="53"/>
        <v>0</v>
      </c>
      <c r="V109" s="128"/>
      <c r="W109" s="123"/>
      <c r="X109" s="130">
        <f t="shared" si="59"/>
        <v>0</v>
      </c>
      <c r="Y109" s="47"/>
      <c r="Z109" s="29"/>
    </row>
    <row r="110" spans="1:26" ht="34.5" customHeight="1">
      <c r="A110" s="98" t="s">
        <v>104</v>
      </c>
      <c r="B110" s="110" t="s">
        <v>387</v>
      </c>
      <c r="C110" s="642"/>
      <c r="D110" s="65" t="s">
        <v>23</v>
      </c>
      <c r="E110" s="65">
        <v>7970457</v>
      </c>
      <c r="F110" s="65" t="s">
        <v>381</v>
      </c>
      <c r="G110" s="59" t="s">
        <v>94</v>
      </c>
      <c r="H110" s="66" t="s">
        <v>388</v>
      </c>
      <c r="I110" s="109">
        <f>246+765+765+1917</f>
        <v>3693</v>
      </c>
      <c r="J110" s="109">
        <f>223+696+696+1743</f>
        <v>3358</v>
      </c>
      <c r="K110" s="109">
        <f>246+765+765+1917</f>
        <v>3693</v>
      </c>
      <c r="L110" s="109">
        <f>223+696</f>
        <v>919</v>
      </c>
      <c r="M110" s="109">
        <f>246+765+765+1917</f>
        <v>3693</v>
      </c>
      <c r="N110" s="109">
        <f>223+696+696+1743</f>
        <v>3358</v>
      </c>
      <c r="O110" s="47"/>
      <c r="P110" s="47"/>
      <c r="Q110" s="113">
        <f t="shared" si="58"/>
        <v>1135</v>
      </c>
      <c r="R110" s="109">
        <v>1135</v>
      </c>
      <c r="S110" s="109">
        <v>1135</v>
      </c>
      <c r="T110" s="128"/>
      <c r="U110" s="128">
        <f t="shared" si="53"/>
        <v>0</v>
      </c>
      <c r="V110" s="128"/>
      <c r="W110" s="123"/>
      <c r="X110" s="130">
        <f t="shared" si="59"/>
        <v>0</v>
      </c>
      <c r="Y110" s="47"/>
      <c r="Z110" s="29"/>
    </row>
    <row r="111" spans="1:26" ht="34.5" customHeight="1">
      <c r="A111" s="98" t="s">
        <v>389</v>
      </c>
      <c r="B111" s="110" t="s">
        <v>390</v>
      </c>
      <c r="C111" s="642"/>
      <c r="D111" s="65" t="s">
        <v>391</v>
      </c>
      <c r="E111" s="65">
        <v>7974808</v>
      </c>
      <c r="F111" s="65" t="s">
        <v>381</v>
      </c>
      <c r="G111" s="59" t="s">
        <v>94</v>
      </c>
      <c r="H111" s="66" t="s">
        <v>392</v>
      </c>
      <c r="I111" s="109">
        <f>492+765+765+1917</f>
        <v>3939</v>
      </c>
      <c r="J111" s="109">
        <f>447+696+696+1743</f>
        <v>3582</v>
      </c>
      <c r="K111" s="109">
        <f>492+765+765+1917</f>
        <v>3939</v>
      </c>
      <c r="L111" s="109">
        <f>696</f>
        <v>696</v>
      </c>
      <c r="M111" s="109">
        <f>492+765+765+1917</f>
        <v>3939</v>
      </c>
      <c r="N111" s="109">
        <f>447+696+696+1743</f>
        <v>3582</v>
      </c>
      <c r="O111" s="47"/>
      <c r="P111" s="47"/>
      <c r="Q111" s="113">
        <f t="shared" si="58"/>
        <v>1386</v>
      </c>
      <c r="R111" s="109">
        <v>1386</v>
      </c>
      <c r="S111" s="109">
        <v>1386</v>
      </c>
      <c r="T111" s="128"/>
      <c r="U111" s="128">
        <f t="shared" si="53"/>
        <v>0</v>
      </c>
      <c r="V111" s="128"/>
      <c r="W111" s="123"/>
      <c r="X111" s="130">
        <f t="shared" si="59"/>
        <v>0</v>
      </c>
      <c r="Y111" s="47"/>
      <c r="Z111" s="29"/>
    </row>
    <row r="112" spans="1:26" ht="34.5" customHeight="1">
      <c r="A112" s="98" t="s">
        <v>393</v>
      </c>
      <c r="B112" s="110" t="s">
        <v>394</v>
      </c>
      <c r="C112" s="642"/>
      <c r="D112" s="65" t="s">
        <v>101</v>
      </c>
      <c r="E112" s="65">
        <v>7974806</v>
      </c>
      <c r="F112" s="65" t="s">
        <v>381</v>
      </c>
      <c r="G112" s="59" t="s">
        <v>94</v>
      </c>
      <c r="H112" s="66" t="s">
        <v>395</v>
      </c>
      <c r="I112" s="109">
        <f>492+765+765+1917</f>
        <v>3939</v>
      </c>
      <c r="J112" s="109">
        <f>447+696+696+1743</f>
        <v>3582</v>
      </c>
      <c r="K112" s="109">
        <f>492+765+765+1917</f>
        <v>3939</v>
      </c>
      <c r="L112" s="109">
        <f>447+696</f>
        <v>1143</v>
      </c>
      <c r="M112" s="109">
        <f>492+765+765+1917</f>
        <v>3939</v>
      </c>
      <c r="N112" s="109">
        <f>447+696+696+1743</f>
        <v>3582</v>
      </c>
      <c r="O112" s="47"/>
      <c r="P112" s="47"/>
      <c r="Q112" s="113">
        <f t="shared" si="58"/>
        <v>1439</v>
      </c>
      <c r="R112" s="109">
        <v>1439</v>
      </c>
      <c r="S112" s="109">
        <v>1439</v>
      </c>
      <c r="T112" s="128"/>
      <c r="U112" s="128">
        <f t="shared" si="53"/>
        <v>0</v>
      </c>
      <c r="V112" s="128"/>
      <c r="W112" s="123"/>
      <c r="X112" s="130">
        <f t="shared" si="59"/>
        <v>0</v>
      </c>
      <c r="Y112" s="47"/>
      <c r="Z112" s="29"/>
    </row>
    <row r="113" spans="1:26" ht="34.5" customHeight="1">
      <c r="A113" s="98" t="s">
        <v>396</v>
      </c>
      <c r="B113" s="110" t="s">
        <v>397</v>
      </c>
      <c r="C113" s="633"/>
      <c r="D113" s="65" t="s">
        <v>19</v>
      </c>
      <c r="E113" s="65">
        <v>7982837</v>
      </c>
      <c r="F113" s="65" t="s">
        <v>398</v>
      </c>
      <c r="G113" s="59" t="s">
        <v>94</v>
      </c>
      <c r="H113" s="66" t="s">
        <v>399</v>
      </c>
      <c r="I113" s="109">
        <f>983+4474</f>
        <v>5457</v>
      </c>
      <c r="J113" s="109">
        <f>894+4067</f>
        <v>4961</v>
      </c>
      <c r="K113" s="109">
        <f>983+4474</f>
        <v>5457</v>
      </c>
      <c r="L113" s="109">
        <v>2467</v>
      </c>
      <c r="M113" s="109">
        <f>983+4474</f>
        <v>5457</v>
      </c>
      <c r="N113" s="109">
        <f>894+4067</f>
        <v>4961</v>
      </c>
      <c r="O113" s="47"/>
      <c r="P113" s="47"/>
      <c r="Q113" s="113">
        <f t="shared" si="58"/>
        <v>1494</v>
      </c>
      <c r="R113" s="109">
        <v>1494</v>
      </c>
      <c r="S113" s="109">
        <v>1494</v>
      </c>
      <c r="T113" s="128"/>
      <c r="U113" s="128">
        <f t="shared" si="53"/>
        <v>0</v>
      </c>
      <c r="V113" s="128"/>
      <c r="W113" s="123"/>
      <c r="X113" s="130">
        <f t="shared" si="59"/>
        <v>0</v>
      </c>
      <c r="Y113" s="47"/>
      <c r="Z113" s="29"/>
    </row>
    <row r="114" spans="1:26">
      <c r="A114" s="95">
        <v>5</v>
      </c>
      <c r="B114" s="102" t="s">
        <v>38</v>
      </c>
      <c r="C114" s="220"/>
      <c r="D114" s="54"/>
      <c r="E114" s="91"/>
      <c r="F114" s="91"/>
      <c r="G114" s="122"/>
      <c r="H114" s="53"/>
      <c r="I114" s="89">
        <f>I115+I117</f>
        <v>6767.0887024888889</v>
      </c>
      <c r="J114" s="89">
        <f t="shared" ref="J114:R114" si="60">J115+J117</f>
        <v>6151.8988204444449</v>
      </c>
      <c r="K114" s="89">
        <f t="shared" si="60"/>
        <v>356.16256328888886</v>
      </c>
      <c r="L114" s="89">
        <f t="shared" si="60"/>
        <v>181.78399999999999</v>
      </c>
      <c r="M114" s="89">
        <f t="shared" si="60"/>
        <v>6767.0887024888889</v>
      </c>
      <c r="N114" s="89">
        <f t="shared" si="60"/>
        <v>6151.8988204444449</v>
      </c>
      <c r="O114" s="89">
        <f t="shared" si="60"/>
        <v>0</v>
      </c>
      <c r="P114" s="89">
        <f t="shared" si="60"/>
        <v>0</v>
      </c>
      <c r="Q114" s="89">
        <f t="shared" si="60"/>
        <v>1924.0028383111112</v>
      </c>
      <c r="R114" s="90">
        <f t="shared" si="60"/>
        <v>1762.0025937777777</v>
      </c>
      <c r="S114" s="90">
        <f t="shared" ref="S114:W114" si="61">S115+S117</f>
        <v>1762.0025937777777</v>
      </c>
      <c r="T114" s="90">
        <f t="shared" si="61"/>
        <v>0</v>
      </c>
      <c r="U114" s="90">
        <f t="shared" si="61"/>
        <v>758.74700000000007</v>
      </c>
      <c r="V114" s="90">
        <f t="shared" si="61"/>
        <v>758.74700000000007</v>
      </c>
      <c r="W114" s="576">
        <f t="shared" si="61"/>
        <v>0</v>
      </c>
      <c r="X114" s="128"/>
      <c r="Y114" s="47"/>
      <c r="Z114" s="29"/>
    </row>
    <row r="115" spans="1:26" ht="31.5">
      <c r="A115" s="95" t="s">
        <v>105</v>
      </c>
      <c r="B115" s="102" t="s">
        <v>400</v>
      </c>
      <c r="C115" s="220"/>
      <c r="D115" s="54"/>
      <c r="E115" s="91"/>
      <c r="F115" s="91"/>
      <c r="G115" s="122"/>
      <c r="H115" s="53"/>
      <c r="I115" s="94">
        <f>I116</f>
        <v>5342.4384493333337</v>
      </c>
      <c r="J115" s="94">
        <f t="shared" ref="J115:W115" si="62">J116</f>
        <v>4856.7622266666667</v>
      </c>
      <c r="K115" s="94">
        <f t="shared" si="62"/>
        <v>0</v>
      </c>
      <c r="L115" s="94">
        <f t="shared" si="62"/>
        <v>0</v>
      </c>
      <c r="M115" s="94">
        <f t="shared" si="62"/>
        <v>5342.4384493333337</v>
      </c>
      <c r="N115" s="94">
        <f t="shared" si="62"/>
        <v>4856.7622266666667</v>
      </c>
      <c r="O115" s="94">
        <f t="shared" si="62"/>
        <v>0</v>
      </c>
      <c r="P115" s="94">
        <f t="shared" si="62"/>
        <v>0</v>
      </c>
      <c r="Q115" s="94">
        <f t="shared" si="62"/>
        <v>713.51499999999999</v>
      </c>
      <c r="R115" s="114">
        <f t="shared" si="62"/>
        <v>648.65</v>
      </c>
      <c r="S115" s="114">
        <f t="shared" si="62"/>
        <v>648.65</v>
      </c>
      <c r="T115" s="114">
        <f t="shared" si="62"/>
        <v>0</v>
      </c>
      <c r="U115" s="114">
        <f t="shared" si="62"/>
        <v>0</v>
      </c>
      <c r="V115" s="114">
        <f t="shared" si="62"/>
        <v>0</v>
      </c>
      <c r="W115" s="578">
        <f t="shared" si="62"/>
        <v>0</v>
      </c>
      <c r="X115" s="130">
        <f t="shared" si="59"/>
        <v>0</v>
      </c>
      <c r="Y115" s="47"/>
      <c r="Z115" s="29"/>
    </row>
    <row r="116" spans="1:26" ht="32.25" customHeight="1">
      <c r="A116" s="98" t="s">
        <v>29</v>
      </c>
      <c r="B116" s="110" t="s">
        <v>401</v>
      </c>
      <c r="C116" s="218" t="s">
        <v>851</v>
      </c>
      <c r="D116" s="65" t="s">
        <v>24</v>
      </c>
      <c r="E116" s="65"/>
      <c r="F116" s="65"/>
      <c r="G116" s="59" t="s">
        <v>322</v>
      </c>
      <c r="H116" s="53"/>
      <c r="I116" s="109">
        <v>5342.4384493333337</v>
      </c>
      <c r="J116" s="109">
        <v>4856.7622266666667</v>
      </c>
      <c r="K116" s="47"/>
      <c r="L116" s="47"/>
      <c r="M116" s="109">
        <v>5342.4384493333337</v>
      </c>
      <c r="N116" s="109">
        <v>4856.7622266666667</v>
      </c>
      <c r="O116" s="47"/>
      <c r="P116" s="47"/>
      <c r="Q116" s="109">
        <f>R116+(R116*10%)</f>
        <v>713.51499999999999</v>
      </c>
      <c r="R116" s="99">
        <v>648.65</v>
      </c>
      <c r="S116" s="99">
        <v>648.65</v>
      </c>
      <c r="T116" s="128"/>
      <c r="U116" s="128">
        <f t="shared" si="53"/>
        <v>0</v>
      </c>
      <c r="V116" s="128"/>
      <c r="W116" s="123"/>
      <c r="X116" s="130">
        <f t="shared" si="59"/>
        <v>0</v>
      </c>
      <c r="Y116" s="47"/>
      <c r="Z116" s="29"/>
    </row>
    <row r="117" spans="1:26">
      <c r="A117" s="95" t="s">
        <v>402</v>
      </c>
      <c r="B117" s="102" t="s">
        <v>107</v>
      </c>
      <c r="C117" s="52"/>
      <c r="D117" s="42"/>
      <c r="E117" s="47"/>
      <c r="F117" s="47"/>
      <c r="G117" s="96"/>
      <c r="H117" s="53"/>
      <c r="I117" s="94">
        <f>I118+I121</f>
        <v>1424.6502531555554</v>
      </c>
      <c r="J117" s="94">
        <f t="shared" ref="J117:R117" si="63">J118+J121</f>
        <v>1295.1365937777778</v>
      </c>
      <c r="K117" s="94">
        <f t="shared" si="63"/>
        <v>356.16256328888886</v>
      </c>
      <c r="L117" s="94">
        <f t="shared" si="63"/>
        <v>181.78399999999999</v>
      </c>
      <c r="M117" s="94">
        <f t="shared" si="63"/>
        <v>1424.6502531555554</v>
      </c>
      <c r="N117" s="94">
        <f t="shared" si="63"/>
        <v>1295.1365937777778</v>
      </c>
      <c r="O117" s="94">
        <f t="shared" si="63"/>
        <v>0</v>
      </c>
      <c r="P117" s="94">
        <f t="shared" si="63"/>
        <v>0</v>
      </c>
      <c r="Q117" s="94">
        <f t="shared" si="63"/>
        <v>1210.4878383111111</v>
      </c>
      <c r="R117" s="114">
        <f t="shared" si="63"/>
        <v>1113.3525937777777</v>
      </c>
      <c r="S117" s="114">
        <f t="shared" ref="S117:V117" si="64">S118+S121</f>
        <v>1113.3525937777777</v>
      </c>
      <c r="T117" s="114">
        <f t="shared" si="64"/>
        <v>0</v>
      </c>
      <c r="U117" s="114">
        <f t="shared" si="64"/>
        <v>758.74700000000007</v>
      </c>
      <c r="V117" s="114">
        <f t="shared" si="64"/>
        <v>758.74700000000007</v>
      </c>
      <c r="W117" s="123"/>
      <c r="X117" s="130">
        <f t="shared" si="59"/>
        <v>68.149749166654743</v>
      </c>
      <c r="Y117" s="47"/>
      <c r="Z117" s="29"/>
    </row>
    <row r="118" spans="1:26">
      <c r="A118" s="49" t="s">
        <v>403</v>
      </c>
      <c r="B118" s="49" t="s">
        <v>207</v>
      </c>
      <c r="C118" s="55"/>
      <c r="D118" s="50"/>
      <c r="E118" s="49"/>
      <c r="F118" s="49"/>
      <c r="G118" s="92"/>
      <c r="H118" s="93"/>
      <c r="I118" s="94">
        <f>SUM(I119:I120)</f>
        <v>356.16256328888886</v>
      </c>
      <c r="J118" s="94">
        <f t="shared" ref="J118:R118" si="65">SUM(J119:J120)</f>
        <v>323.78414844444444</v>
      </c>
      <c r="K118" s="94">
        <f t="shared" si="65"/>
        <v>356.16256328888886</v>
      </c>
      <c r="L118" s="94">
        <f t="shared" si="65"/>
        <v>181.78399999999999</v>
      </c>
      <c r="M118" s="94">
        <f t="shared" si="65"/>
        <v>356.16256328888886</v>
      </c>
      <c r="N118" s="94">
        <f t="shared" si="65"/>
        <v>323.78414844444444</v>
      </c>
      <c r="O118" s="94">
        <f t="shared" si="65"/>
        <v>0</v>
      </c>
      <c r="P118" s="94">
        <f t="shared" si="65"/>
        <v>0</v>
      </c>
      <c r="Q118" s="94">
        <f t="shared" si="65"/>
        <v>142.00014844444445</v>
      </c>
      <c r="R118" s="114">
        <f t="shared" si="65"/>
        <v>142.00014844444445</v>
      </c>
      <c r="S118" s="114">
        <f t="shared" ref="S118:T118" si="66">SUM(S119:S120)</f>
        <v>142.00014844444445</v>
      </c>
      <c r="T118" s="114">
        <f t="shared" si="66"/>
        <v>0</v>
      </c>
      <c r="U118" s="114">
        <f>SUM(U119:U120)</f>
        <v>130.12700000000001</v>
      </c>
      <c r="V118" s="114">
        <f>SUM(V119:V120)</f>
        <v>130.12700000000001</v>
      </c>
      <c r="W118" s="572"/>
      <c r="X118" s="130">
        <f t="shared" si="59"/>
        <v>91.638636596855633</v>
      </c>
      <c r="Y118" s="49"/>
      <c r="Z118" s="32"/>
    </row>
    <row r="119" spans="1:26" ht="38.25" customHeight="1">
      <c r="A119" s="121" t="s">
        <v>404</v>
      </c>
      <c r="B119" s="110" t="s">
        <v>405</v>
      </c>
      <c r="C119" s="638" t="s">
        <v>106</v>
      </c>
      <c r="D119" s="65" t="s">
        <v>101</v>
      </c>
      <c r="E119" s="65">
        <v>8006188</v>
      </c>
      <c r="F119" s="85">
        <v>160.161</v>
      </c>
      <c r="G119" s="59" t="s">
        <v>90</v>
      </c>
      <c r="H119" s="66" t="s">
        <v>406</v>
      </c>
      <c r="I119" s="109">
        <v>178.08128164444443</v>
      </c>
      <c r="J119" s="99">
        <v>161.89207422222222</v>
      </c>
      <c r="K119" s="109">
        <v>178.08128164444443</v>
      </c>
      <c r="L119" s="99">
        <v>90.891999999999996</v>
      </c>
      <c r="M119" s="109">
        <v>178.08128164444443</v>
      </c>
      <c r="N119" s="99">
        <v>161.89207422222222</v>
      </c>
      <c r="O119" s="47"/>
      <c r="P119" s="47"/>
      <c r="Q119" s="123">
        <f>R119</f>
        <v>71.000074222222224</v>
      </c>
      <c r="R119" s="99">
        <f>N119-L119</f>
        <v>71.000074222222224</v>
      </c>
      <c r="S119" s="99">
        <f>R119</f>
        <v>71.000074222222224</v>
      </c>
      <c r="T119" s="128"/>
      <c r="U119" s="128">
        <f t="shared" si="53"/>
        <v>71</v>
      </c>
      <c r="V119" s="563">
        <v>71</v>
      </c>
      <c r="W119" s="123"/>
      <c r="X119" s="130">
        <f t="shared" si="59"/>
        <v>99.999895461768119</v>
      </c>
      <c r="Y119" s="47"/>
      <c r="Z119" s="29"/>
    </row>
    <row r="120" spans="1:26" ht="36">
      <c r="A120" s="121" t="s">
        <v>407</v>
      </c>
      <c r="B120" s="110" t="s">
        <v>408</v>
      </c>
      <c r="C120" s="640"/>
      <c r="D120" s="65" t="s">
        <v>17</v>
      </c>
      <c r="E120" s="65">
        <v>8006200</v>
      </c>
      <c r="F120" s="85">
        <v>160.161</v>
      </c>
      <c r="G120" s="59" t="s">
        <v>90</v>
      </c>
      <c r="H120" s="66" t="s">
        <v>409</v>
      </c>
      <c r="I120" s="109">
        <v>178.08128164444443</v>
      </c>
      <c r="J120" s="99">
        <v>161.89207422222222</v>
      </c>
      <c r="K120" s="109">
        <v>178.08128164444443</v>
      </c>
      <c r="L120" s="99">
        <v>90.891999999999996</v>
      </c>
      <c r="M120" s="109">
        <v>178.08128164444443</v>
      </c>
      <c r="N120" s="99">
        <v>161.89207422222222</v>
      </c>
      <c r="O120" s="47"/>
      <c r="P120" s="47"/>
      <c r="Q120" s="123">
        <f>R120</f>
        <v>71.000074222222224</v>
      </c>
      <c r="R120" s="99">
        <f>N120-L120</f>
        <v>71.000074222222224</v>
      </c>
      <c r="S120" s="99">
        <f>R120</f>
        <v>71.000074222222224</v>
      </c>
      <c r="T120" s="128"/>
      <c r="U120" s="128">
        <f t="shared" si="53"/>
        <v>59.127000000000002</v>
      </c>
      <c r="V120" s="563">
        <v>59.127000000000002</v>
      </c>
      <c r="W120" s="123"/>
      <c r="X120" s="130">
        <f t="shared" si="59"/>
        <v>83.277377731943162</v>
      </c>
      <c r="Y120" s="47"/>
      <c r="Z120" s="29"/>
    </row>
    <row r="121" spans="1:26">
      <c r="A121" s="49" t="s">
        <v>410</v>
      </c>
      <c r="B121" s="49" t="s">
        <v>315</v>
      </c>
      <c r="C121" s="55"/>
      <c r="D121" s="50"/>
      <c r="E121" s="49"/>
      <c r="F121" s="49"/>
      <c r="G121" s="92"/>
      <c r="H121" s="93"/>
      <c r="I121" s="94">
        <f>SUM(I122:I127)</f>
        <v>1068.4876898666666</v>
      </c>
      <c r="J121" s="94">
        <f t="shared" ref="J121:R121" si="67">SUM(J122:J127)</f>
        <v>971.35244533333321</v>
      </c>
      <c r="K121" s="94">
        <f t="shared" si="67"/>
        <v>0</v>
      </c>
      <c r="L121" s="94">
        <f t="shared" si="67"/>
        <v>0</v>
      </c>
      <c r="M121" s="94">
        <f t="shared" si="67"/>
        <v>1068.4876898666666</v>
      </c>
      <c r="N121" s="94">
        <f t="shared" si="67"/>
        <v>971.35244533333321</v>
      </c>
      <c r="O121" s="94">
        <f t="shared" si="67"/>
        <v>0</v>
      </c>
      <c r="P121" s="94">
        <f t="shared" si="67"/>
        <v>0</v>
      </c>
      <c r="Q121" s="94">
        <f t="shared" si="67"/>
        <v>1068.4876898666666</v>
      </c>
      <c r="R121" s="114">
        <f t="shared" si="67"/>
        <v>971.35244533333321</v>
      </c>
      <c r="S121" s="114">
        <f t="shared" ref="S121" si="68">SUM(S122:S127)</f>
        <v>971.35244533333321</v>
      </c>
      <c r="T121" s="114"/>
      <c r="U121" s="128">
        <f t="shared" si="53"/>
        <v>628.62</v>
      </c>
      <c r="V121" s="557">
        <f>SUM(V122:V127)</f>
        <v>628.62</v>
      </c>
      <c r="W121" s="572"/>
      <c r="X121" s="130">
        <f t="shared" si="59"/>
        <v>64.715953825007389</v>
      </c>
      <c r="Y121" s="49"/>
      <c r="Z121" s="32"/>
    </row>
    <row r="122" spans="1:26" ht="35.25" customHeight="1">
      <c r="A122" s="121" t="s">
        <v>411</v>
      </c>
      <c r="B122" s="110" t="s">
        <v>412</v>
      </c>
      <c r="C122" s="638" t="s">
        <v>106</v>
      </c>
      <c r="D122" s="65" t="s">
        <v>17</v>
      </c>
      <c r="E122" s="65">
        <v>8006205</v>
      </c>
      <c r="F122" s="85">
        <v>160.161</v>
      </c>
      <c r="G122" s="59">
        <v>2023</v>
      </c>
      <c r="H122" s="66" t="s">
        <v>413</v>
      </c>
      <c r="I122" s="109">
        <v>178.08128164444443</v>
      </c>
      <c r="J122" s="99">
        <v>161.89207422222222</v>
      </c>
      <c r="K122" s="47"/>
      <c r="L122" s="47"/>
      <c r="M122" s="109">
        <v>178.08128164444443</v>
      </c>
      <c r="N122" s="99">
        <v>161.89207422222222</v>
      </c>
      <c r="O122" s="47"/>
      <c r="P122" s="47"/>
      <c r="Q122" s="109">
        <v>178.08128164444443</v>
      </c>
      <c r="R122" s="99">
        <v>161.89207422222222</v>
      </c>
      <c r="S122" s="99">
        <v>161.89207422222222</v>
      </c>
      <c r="T122" s="128"/>
      <c r="U122" s="128">
        <f t="shared" si="53"/>
        <v>116.792</v>
      </c>
      <c r="V122" s="563">
        <v>116.792</v>
      </c>
      <c r="W122" s="123"/>
      <c r="X122" s="130">
        <f t="shared" si="59"/>
        <v>72.141888700298381</v>
      </c>
      <c r="Y122" s="47"/>
      <c r="Z122" s="29"/>
    </row>
    <row r="123" spans="1:26" ht="36">
      <c r="A123" s="121" t="s">
        <v>414</v>
      </c>
      <c r="B123" s="110" t="s">
        <v>415</v>
      </c>
      <c r="C123" s="639"/>
      <c r="D123" s="65" t="s">
        <v>299</v>
      </c>
      <c r="E123" s="65">
        <v>8006189</v>
      </c>
      <c r="F123" s="85">
        <v>160.161</v>
      </c>
      <c r="G123" s="59">
        <v>2023</v>
      </c>
      <c r="H123" s="66" t="s">
        <v>416</v>
      </c>
      <c r="I123" s="109">
        <v>178.08128164444443</v>
      </c>
      <c r="J123" s="99">
        <v>161.89207422222222</v>
      </c>
      <c r="K123" s="47"/>
      <c r="L123" s="47"/>
      <c r="M123" s="109">
        <v>178.08128164444443</v>
      </c>
      <c r="N123" s="99">
        <v>161.89207422222222</v>
      </c>
      <c r="O123" s="47"/>
      <c r="P123" s="47"/>
      <c r="Q123" s="109">
        <v>178.08128164444443</v>
      </c>
      <c r="R123" s="99">
        <v>161.89207422222222</v>
      </c>
      <c r="S123" s="99">
        <v>161.89207422222222</v>
      </c>
      <c r="T123" s="128"/>
      <c r="U123" s="128">
        <f t="shared" si="53"/>
        <v>109.127</v>
      </c>
      <c r="V123" s="563">
        <v>109.127</v>
      </c>
      <c r="W123" s="123"/>
      <c r="X123" s="130">
        <f t="shared" si="59"/>
        <v>67.40725296422238</v>
      </c>
      <c r="Y123" s="47"/>
      <c r="Z123" s="29"/>
    </row>
    <row r="124" spans="1:26" ht="36">
      <c r="A124" s="121" t="s">
        <v>417</v>
      </c>
      <c r="B124" s="110" t="s">
        <v>418</v>
      </c>
      <c r="C124" s="639"/>
      <c r="D124" s="65" t="s">
        <v>19</v>
      </c>
      <c r="E124" s="65">
        <v>8006198</v>
      </c>
      <c r="F124" s="85">
        <v>160.161</v>
      </c>
      <c r="G124" s="59">
        <v>2023</v>
      </c>
      <c r="H124" s="66" t="s">
        <v>419</v>
      </c>
      <c r="I124" s="109">
        <v>178.08128164444443</v>
      </c>
      <c r="J124" s="99">
        <v>161.89207422222222</v>
      </c>
      <c r="K124" s="47"/>
      <c r="L124" s="47"/>
      <c r="M124" s="109">
        <v>178.08128164444443</v>
      </c>
      <c r="N124" s="99">
        <v>161.89207422222222</v>
      </c>
      <c r="O124" s="47"/>
      <c r="P124" s="47"/>
      <c r="Q124" s="109">
        <v>178.08128164444443</v>
      </c>
      <c r="R124" s="99">
        <v>161.89207422222222</v>
      </c>
      <c r="S124" s="99">
        <v>161.89207422222222</v>
      </c>
      <c r="T124" s="128"/>
      <c r="U124" s="128">
        <f t="shared" si="53"/>
        <v>34.4</v>
      </c>
      <c r="V124" s="563">
        <v>34.4</v>
      </c>
      <c r="W124" s="123"/>
      <c r="X124" s="130">
        <f t="shared" si="59"/>
        <v>21.24872398186746</v>
      </c>
      <c r="Y124" s="47"/>
      <c r="Z124" s="29"/>
    </row>
    <row r="125" spans="1:26" ht="36">
      <c r="A125" s="121" t="s">
        <v>420</v>
      </c>
      <c r="B125" s="110" t="s">
        <v>421</v>
      </c>
      <c r="C125" s="639"/>
      <c r="D125" s="65" t="s">
        <v>19</v>
      </c>
      <c r="E125" s="65">
        <v>8006199</v>
      </c>
      <c r="F125" s="85">
        <v>160.161</v>
      </c>
      <c r="G125" s="59">
        <v>2023</v>
      </c>
      <c r="H125" s="66" t="s">
        <v>422</v>
      </c>
      <c r="I125" s="109">
        <v>178.08128164444443</v>
      </c>
      <c r="J125" s="99">
        <v>161.89207422222222</v>
      </c>
      <c r="K125" s="47"/>
      <c r="L125" s="47"/>
      <c r="M125" s="109">
        <v>178.08128164444443</v>
      </c>
      <c r="N125" s="99">
        <v>161.89207422222222</v>
      </c>
      <c r="O125" s="47"/>
      <c r="P125" s="47"/>
      <c r="Q125" s="109">
        <v>178.08128164444443</v>
      </c>
      <c r="R125" s="99">
        <v>161.89207422222222</v>
      </c>
      <c r="S125" s="99">
        <v>161.89207422222222</v>
      </c>
      <c r="T125" s="128"/>
      <c r="U125" s="128">
        <f t="shared" si="53"/>
        <v>95.126999999999995</v>
      </c>
      <c r="V125" s="563">
        <v>95.126999999999995</v>
      </c>
      <c r="W125" s="123"/>
      <c r="X125" s="130">
        <f t="shared" si="59"/>
        <v>58.759516459974002</v>
      </c>
      <c r="Y125" s="47"/>
      <c r="Z125" s="29"/>
    </row>
    <row r="126" spans="1:26" ht="36">
      <c r="A126" s="121" t="s">
        <v>423</v>
      </c>
      <c r="B126" s="110" t="s">
        <v>424</v>
      </c>
      <c r="C126" s="639"/>
      <c r="D126" s="65" t="s">
        <v>23</v>
      </c>
      <c r="E126" s="65">
        <v>8006202</v>
      </c>
      <c r="F126" s="85">
        <v>160.161</v>
      </c>
      <c r="G126" s="59">
        <v>2023</v>
      </c>
      <c r="H126" s="66" t="s">
        <v>425</v>
      </c>
      <c r="I126" s="109">
        <v>178.08128164444443</v>
      </c>
      <c r="J126" s="99">
        <v>161.89207422222222</v>
      </c>
      <c r="K126" s="47"/>
      <c r="L126" s="47"/>
      <c r="M126" s="109">
        <v>178.08128164444443</v>
      </c>
      <c r="N126" s="99">
        <v>161.89207422222222</v>
      </c>
      <c r="O126" s="47"/>
      <c r="P126" s="47"/>
      <c r="Q126" s="109">
        <v>178.08128164444443</v>
      </c>
      <c r="R126" s="99">
        <v>161.89207422222222</v>
      </c>
      <c r="S126" s="99">
        <v>161.89207422222222</v>
      </c>
      <c r="T126" s="128"/>
      <c r="U126" s="128">
        <f t="shared" si="53"/>
        <v>126.38200000000001</v>
      </c>
      <c r="V126" s="563">
        <v>126.38200000000001</v>
      </c>
      <c r="W126" s="123"/>
      <c r="X126" s="130">
        <f t="shared" si="59"/>
        <v>78.065588205708522</v>
      </c>
      <c r="Y126" s="47"/>
      <c r="Z126" s="29"/>
    </row>
    <row r="127" spans="1:26" ht="36">
      <c r="A127" s="121" t="s">
        <v>426</v>
      </c>
      <c r="B127" s="110" t="s">
        <v>427</v>
      </c>
      <c r="C127" s="640"/>
      <c r="D127" s="65" t="s">
        <v>100</v>
      </c>
      <c r="E127" s="65">
        <v>8006203</v>
      </c>
      <c r="F127" s="85">
        <v>160.161</v>
      </c>
      <c r="G127" s="59">
        <v>2023</v>
      </c>
      <c r="H127" s="66" t="s">
        <v>428</v>
      </c>
      <c r="I127" s="109">
        <v>178.08128164444443</v>
      </c>
      <c r="J127" s="99">
        <v>161.89207422222222</v>
      </c>
      <c r="K127" s="47"/>
      <c r="L127" s="47"/>
      <c r="M127" s="109">
        <v>178.08128164444443</v>
      </c>
      <c r="N127" s="99">
        <v>161.89207422222222</v>
      </c>
      <c r="O127" s="47"/>
      <c r="P127" s="47"/>
      <c r="Q127" s="109">
        <v>178.08128164444443</v>
      </c>
      <c r="R127" s="99">
        <v>161.89207422222222</v>
      </c>
      <c r="S127" s="99">
        <v>161.89207422222222</v>
      </c>
      <c r="T127" s="128"/>
      <c r="U127" s="128">
        <f t="shared" si="53"/>
        <v>146.792</v>
      </c>
      <c r="V127" s="563">
        <v>146.792</v>
      </c>
      <c r="W127" s="123"/>
      <c r="X127" s="130">
        <f t="shared" si="59"/>
        <v>90.672752637973502</v>
      </c>
      <c r="Y127" s="47"/>
      <c r="Z127" s="29"/>
    </row>
    <row r="128" spans="1:26">
      <c r="A128" s="95">
        <v>6</v>
      </c>
      <c r="B128" s="102" t="s">
        <v>39</v>
      </c>
      <c r="C128" s="220"/>
      <c r="D128" s="54"/>
      <c r="E128" s="91"/>
      <c r="F128" s="91"/>
      <c r="G128" s="122"/>
      <c r="H128" s="53"/>
      <c r="I128" s="94">
        <f>I129</f>
        <v>4222.8999999999996</v>
      </c>
      <c r="J128" s="94">
        <f t="shared" ref="J128:S128" si="69">J129</f>
        <v>3839</v>
      </c>
      <c r="K128" s="94">
        <f t="shared" si="69"/>
        <v>4222.8999999999996</v>
      </c>
      <c r="L128" s="94">
        <f t="shared" si="69"/>
        <v>691</v>
      </c>
      <c r="M128" s="94">
        <f t="shared" si="69"/>
        <v>4222.8999999999996</v>
      </c>
      <c r="N128" s="94">
        <f t="shared" si="69"/>
        <v>3839</v>
      </c>
      <c r="O128" s="94">
        <f t="shared" si="69"/>
        <v>0</v>
      </c>
      <c r="P128" s="94">
        <f t="shared" si="69"/>
        <v>0</v>
      </c>
      <c r="Q128" s="94">
        <f t="shared" si="69"/>
        <v>1366</v>
      </c>
      <c r="R128" s="94">
        <f t="shared" si="69"/>
        <v>1366</v>
      </c>
      <c r="S128" s="94">
        <f t="shared" si="69"/>
        <v>1366</v>
      </c>
      <c r="T128" s="128"/>
      <c r="U128" s="128">
        <f t="shared" si="53"/>
        <v>0</v>
      </c>
      <c r="V128" s="563"/>
      <c r="W128" s="123"/>
      <c r="X128" s="130">
        <f t="shared" si="59"/>
        <v>0</v>
      </c>
      <c r="Y128" s="47"/>
      <c r="Z128" s="29"/>
    </row>
    <row r="129" spans="1:26" ht="48.75" customHeight="1">
      <c r="A129" s="98" t="s">
        <v>29</v>
      </c>
      <c r="B129" s="110" t="s">
        <v>108</v>
      </c>
      <c r="C129" s="218" t="s">
        <v>851</v>
      </c>
      <c r="D129" s="65" t="s">
        <v>109</v>
      </c>
      <c r="E129" s="58">
        <v>7993434</v>
      </c>
      <c r="F129" s="85" t="s">
        <v>429</v>
      </c>
      <c r="G129" s="118" t="s">
        <v>94</v>
      </c>
      <c r="H129" s="66" t="s">
        <v>430</v>
      </c>
      <c r="I129" s="109">
        <v>4222.8999999999996</v>
      </c>
      <c r="J129" s="109">
        <v>3839</v>
      </c>
      <c r="K129" s="109">
        <v>4222.8999999999996</v>
      </c>
      <c r="L129" s="109">
        <v>691</v>
      </c>
      <c r="M129" s="109">
        <v>4222.8999999999996</v>
      </c>
      <c r="N129" s="109">
        <v>3839</v>
      </c>
      <c r="O129" s="47"/>
      <c r="P129" s="47"/>
      <c r="Q129" s="109">
        <f>R129</f>
        <v>1366</v>
      </c>
      <c r="R129" s="109">
        <v>1366</v>
      </c>
      <c r="S129" s="109">
        <v>1366</v>
      </c>
      <c r="T129" s="128"/>
      <c r="U129" s="128">
        <f t="shared" si="53"/>
        <v>0</v>
      </c>
      <c r="V129" s="128"/>
      <c r="W129" s="123"/>
      <c r="X129" s="130">
        <f t="shared" si="59"/>
        <v>0</v>
      </c>
      <c r="Y129" s="47"/>
      <c r="Z129" s="29"/>
    </row>
    <row r="130" spans="1:26" ht="35.25" customHeight="1">
      <c r="A130" s="518" t="s">
        <v>146</v>
      </c>
      <c r="B130" s="273" t="s">
        <v>764</v>
      </c>
      <c r="C130" s="518"/>
      <c r="D130" s="518"/>
      <c r="E130" s="518"/>
      <c r="F130" s="518"/>
      <c r="G130" s="518"/>
      <c r="H130" s="518"/>
      <c r="I130" s="518"/>
      <c r="J130" s="518"/>
      <c r="K130" s="518"/>
      <c r="L130" s="518"/>
      <c r="M130" s="518"/>
      <c r="N130" s="518"/>
      <c r="O130" s="518"/>
      <c r="P130" s="518"/>
      <c r="Q130" s="518"/>
      <c r="R130" s="519">
        <f>R131+R173+R215</f>
        <v>52012.327264000014</v>
      </c>
      <c r="S130" s="519">
        <f t="shared" ref="S130" si="70">S131+S173+S215</f>
        <v>0</v>
      </c>
      <c r="T130" s="519">
        <f>T131+T173+T215</f>
        <v>52012.327264000014</v>
      </c>
      <c r="U130" s="519">
        <f>U131+U173+U215</f>
        <v>12692.243839999999</v>
      </c>
      <c r="V130" s="564">
        <f t="shared" ref="V130:Y130" si="71">V131+V173+V215</f>
        <v>0</v>
      </c>
      <c r="W130" s="579">
        <f>W131+W173+W215</f>
        <v>12692.233839999997</v>
      </c>
      <c r="X130" s="519">
        <f t="shared" si="59"/>
        <v>24.402376335859234</v>
      </c>
      <c r="Y130" s="519">
        <f t="shared" si="71"/>
        <v>0</v>
      </c>
      <c r="Z130" s="4"/>
    </row>
    <row r="131" spans="1:26" s="202" customFormat="1" ht="42.75" customHeight="1">
      <c r="A131" s="346" t="s">
        <v>3</v>
      </c>
      <c r="B131" s="346" t="s">
        <v>73</v>
      </c>
      <c r="C131" s="346"/>
      <c r="D131" s="346"/>
      <c r="E131" s="347"/>
      <c r="F131" s="348"/>
      <c r="G131" s="348"/>
      <c r="H131" s="348"/>
      <c r="I131" s="349"/>
      <c r="J131" s="349"/>
      <c r="K131" s="349"/>
      <c r="L131" s="349"/>
      <c r="M131" s="349"/>
      <c r="N131" s="348"/>
      <c r="O131" s="348"/>
      <c r="P131" s="348"/>
      <c r="Q131" s="348"/>
      <c r="R131" s="352">
        <f>R132+R135+R138+R149+R160+R171</f>
        <v>20370.206064000002</v>
      </c>
      <c r="S131" s="352">
        <f t="shared" ref="S131" si="72">S132+S135+S138+S149+S160+S171</f>
        <v>0</v>
      </c>
      <c r="T131" s="352">
        <f>T132+T135+T138+T149+T160+T171</f>
        <v>20370.206064000002</v>
      </c>
      <c r="U131" s="352">
        <f t="shared" ref="U131:Y131" si="73">U132+U135+U138+U149+U160+U171</f>
        <v>4539.9268399999992</v>
      </c>
      <c r="V131" s="349">
        <f t="shared" si="73"/>
        <v>0</v>
      </c>
      <c r="W131" s="350">
        <f>W132+W135+W138+W149+W160+W171</f>
        <v>4539.9268399999992</v>
      </c>
      <c r="X131" s="352">
        <f t="shared" si="59"/>
        <v>22.287093344742114</v>
      </c>
      <c r="Y131" s="352">
        <f t="shared" si="73"/>
        <v>0</v>
      </c>
    </row>
    <row r="132" spans="1:26" s="202" customFormat="1" ht="22.5" customHeight="1">
      <c r="A132" s="280">
        <v>1</v>
      </c>
      <c r="B132" s="275" t="s">
        <v>37</v>
      </c>
      <c r="C132" s="280"/>
      <c r="D132" s="280"/>
      <c r="E132" s="275"/>
      <c r="F132" s="276"/>
      <c r="G132" s="276"/>
      <c r="H132" s="276"/>
      <c r="I132" s="331"/>
      <c r="J132" s="331"/>
      <c r="K132" s="331"/>
      <c r="L132" s="331"/>
      <c r="M132" s="331"/>
      <c r="N132" s="332"/>
      <c r="O132" s="332"/>
      <c r="P132" s="332"/>
      <c r="Q132" s="332"/>
      <c r="R132" s="340">
        <f>T132</f>
        <v>873.50299999999993</v>
      </c>
      <c r="S132" s="333"/>
      <c r="T132" s="331">
        <f>SUM(T133:T134)</f>
        <v>873.50299999999993</v>
      </c>
      <c r="U132" s="331">
        <f t="shared" ref="U132:W132" si="74">SUM(U133:U134)</f>
        <v>7.22</v>
      </c>
      <c r="V132" s="331">
        <f t="shared" si="74"/>
        <v>0</v>
      </c>
      <c r="W132" s="580">
        <f t="shared" si="74"/>
        <v>7.22</v>
      </c>
      <c r="X132" s="130">
        <f t="shared" si="59"/>
        <v>0.82655697805273709</v>
      </c>
      <c r="Y132" s="332"/>
    </row>
    <row r="133" spans="1:26" ht="30">
      <c r="A133" s="334" t="s">
        <v>74</v>
      </c>
      <c r="B133" s="283" t="s">
        <v>87</v>
      </c>
      <c r="C133" s="636" t="s">
        <v>67</v>
      </c>
      <c r="D133" s="285" t="s">
        <v>44</v>
      </c>
      <c r="E133" s="286" t="s">
        <v>499</v>
      </c>
      <c r="F133" s="276"/>
      <c r="G133" s="276"/>
      <c r="H133" s="276"/>
      <c r="I133" s="327"/>
      <c r="J133" s="327"/>
      <c r="K133" s="327"/>
      <c r="L133" s="327"/>
      <c r="M133" s="327"/>
      <c r="N133" s="326"/>
      <c r="O133" s="326"/>
      <c r="P133" s="326"/>
      <c r="Q133" s="326"/>
      <c r="R133" s="339">
        <f t="shared" ref="R133:R191" si="75">T133</f>
        <v>589.26199999999994</v>
      </c>
      <c r="S133" s="328"/>
      <c r="T133" s="327">
        <f>Sheet1!H8</f>
        <v>589.26199999999994</v>
      </c>
      <c r="U133" s="327">
        <f>V133+W133</f>
        <v>0</v>
      </c>
      <c r="V133" s="327"/>
      <c r="W133" s="339"/>
      <c r="X133" s="130">
        <f t="shared" si="59"/>
        <v>0</v>
      </c>
      <c r="Y133" s="326"/>
    </row>
    <row r="134" spans="1:26" ht="33" customHeight="1">
      <c r="A134" s="334" t="s">
        <v>80</v>
      </c>
      <c r="B134" s="287" t="s">
        <v>89</v>
      </c>
      <c r="C134" s="636"/>
      <c r="D134" s="285" t="s">
        <v>46</v>
      </c>
      <c r="E134" s="286" t="s">
        <v>500</v>
      </c>
      <c r="F134" s="284"/>
      <c r="G134" s="284"/>
      <c r="H134" s="284"/>
      <c r="I134" s="327"/>
      <c r="J134" s="327"/>
      <c r="K134" s="327"/>
      <c r="L134" s="327"/>
      <c r="M134" s="327"/>
      <c r="N134" s="326"/>
      <c r="O134" s="326"/>
      <c r="P134" s="326"/>
      <c r="Q134" s="326"/>
      <c r="R134" s="339">
        <f t="shared" si="75"/>
        <v>284.24099999999999</v>
      </c>
      <c r="S134" s="328"/>
      <c r="T134" s="339">
        <f>Sheet1!H9</f>
        <v>284.24099999999999</v>
      </c>
      <c r="U134" s="339">
        <f>V134+W134</f>
        <v>7.22</v>
      </c>
      <c r="V134" s="327"/>
      <c r="W134" s="339">
        <v>7.22</v>
      </c>
      <c r="X134" s="339">
        <f t="shared" si="59"/>
        <v>2.5400980154164952</v>
      </c>
      <c r="Y134" s="326"/>
    </row>
    <row r="135" spans="1:26" s="202" customFormat="1">
      <c r="A135" s="281">
        <v>2</v>
      </c>
      <c r="B135" s="288" t="s">
        <v>501</v>
      </c>
      <c r="C135" s="280"/>
      <c r="D135" s="280"/>
      <c r="E135" s="275"/>
      <c r="F135" s="276"/>
      <c r="G135" s="276"/>
      <c r="H135" s="276"/>
      <c r="I135" s="331"/>
      <c r="J135" s="331"/>
      <c r="K135" s="331"/>
      <c r="L135" s="331"/>
      <c r="M135" s="331"/>
      <c r="N135" s="332"/>
      <c r="O135" s="332"/>
      <c r="P135" s="332"/>
      <c r="Q135" s="332"/>
      <c r="R135" s="340">
        <f t="shared" si="75"/>
        <v>6241.6959999999999</v>
      </c>
      <c r="S135" s="333"/>
      <c r="T135" s="331">
        <f>T136+T137</f>
        <v>6241.6959999999999</v>
      </c>
      <c r="U135" s="327">
        <f t="shared" ref="U135:U172" si="76">V135+W135</f>
        <v>0</v>
      </c>
      <c r="V135" s="331"/>
      <c r="W135" s="340"/>
      <c r="X135" s="130">
        <f t="shared" si="59"/>
        <v>0</v>
      </c>
      <c r="Y135" s="332"/>
    </row>
    <row r="136" spans="1:26" ht="30">
      <c r="A136" s="334" t="s">
        <v>91</v>
      </c>
      <c r="B136" s="287" t="s">
        <v>93</v>
      </c>
      <c r="C136" s="621" t="s">
        <v>67</v>
      </c>
      <c r="D136" s="285" t="s">
        <v>63</v>
      </c>
      <c r="E136" s="286" t="s">
        <v>503</v>
      </c>
      <c r="F136" s="326"/>
      <c r="G136" s="326"/>
      <c r="H136" s="326"/>
      <c r="I136" s="327"/>
      <c r="J136" s="327"/>
      <c r="K136" s="327"/>
      <c r="L136" s="327"/>
      <c r="M136" s="327"/>
      <c r="N136" s="326"/>
      <c r="O136" s="326"/>
      <c r="P136" s="326"/>
      <c r="Q136" s="326"/>
      <c r="R136" s="339">
        <f t="shared" si="75"/>
        <v>5678.1040000000003</v>
      </c>
      <c r="S136" s="328"/>
      <c r="T136" s="327">
        <f>Sheet1!H11</f>
        <v>5678.1040000000003</v>
      </c>
      <c r="U136" s="327">
        <f t="shared" si="76"/>
        <v>0</v>
      </c>
      <c r="V136" s="327"/>
      <c r="W136" s="339"/>
      <c r="X136" s="130">
        <f t="shared" si="59"/>
        <v>0</v>
      </c>
      <c r="Y136" s="326"/>
    </row>
    <row r="137" spans="1:26" ht="30">
      <c r="A137" s="290" t="s">
        <v>92</v>
      </c>
      <c r="B137" s="283" t="s">
        <v>96</v>
      </c>
      <c r="C137" s="622"/>
      <c r="D137" s="290" t="s">
        <v>77</v>
      </c>
      <c r="E137" s="286" t="s">
        <v>504</v>
      </c>
      <c r="F137" s="276"/>
      <c r="G137" s="276"/>
      <c r="H137" s="276"/>
      <c r="I137" s="327"/>
      <c r="J137" s="327"/>
      <c r="K137" s="327"/>
      <c r="L137" s="327"/>
      <c r="M137" s="327"/>
      <c r="N137" s="326"/>
      <c r="O137" s="326"/>
      <c r="P137" s="326"/>
      <c r="Q137" s="326"/>
      <c r="R137" s="339">
        <f t="shared" si="75"/>
        <v>563.5920000000001</v>
      </c>
      <c r="S137" s="328"/>
      <c r="T137" s="327">
        <f>Sheet1!H12</f>
        <v>563.5920000000001</v>
      </c>
      <c r="U137" s="327">
        <f t="shared" si="76"/>
        <v>0</v>
      </c>
      <c r="V137" s="327"/>
      <c r="W137" s="339"/>
      <c r="X137" s="130">
        <f t="shared" si="59"/>
        <v>0</v>
      </c>
      <c r="Y137" s="326"/>
    </row>
    <row r="138" spans="1:26" s="202" customFormat="1">
      <c r="A138" s="281">
        <v>3</v>
      </c>
      <c r="B138" s="288" t="s">
        <v>33</v>
      </c>
      <c r="C138" s="280"/>
      <c r="D138" s="280"/>
      <c r="E138" s="275"/>
      <c r="F138" s="276"/>
      <c r="G138" s="276"/>
      <c r="H138" s="276"/>
      <c r="I138" s="331"/>
      <c r="J138" s="331"/>
      <c r="K138" s="331"/>
      <c r="L138" s="331"/>
      <c r="M138" s="331"/>
      <c r="N138" s="332"/>
      <c r="O138" s="332"/>
      <c r="P138" s="332"/>
      <c r="Q138" s="332"/>
      <c r="R138" s="340">
        <f t="shared" si="75"/>
        <v>8387.3981160000003</v>
      </c>
      <c r="S138" s="333"/>
      <c r="T138" s="331">
        <f>SUM(T139:T148)</f>
        <v>8387.3981160000003</v>
      </c>
      <c r="U138" s="331">
        <f>SUM(U139:U148)</f>
        <v>3463.17184</v>
      </c>
      <c r="V138" s="331">
        <f t="shared" ref="V138:W138" si="77">SUM(V139:V148)</f>
        <v>0</v>
      </c>
      <c r="W138" s="580">
        <f t="shared" si="77"/>
        <v>3463.17184</v>
      </c>
      <c r="X138" s="130">
        <f t="shared" si="59"/>
        <v>41.290180722357398</v>
      </c>
      <c r="Y138" s="332"/>
    </row>
    <row r="139" spans="1:26" ht="30">
      <c r="A139" s="290" t="s">
        <v>97</v>
      </c>
      <c r="B139" s="283" t="s">
        <v>505</v>
      </c>
      <c r="C139" s="290" t="s">
        <v>42</v>
      </c>
      <c r="D139" s="290" t="s">
        <v>42</v>
      </c>
      <c r="E139" s="282" t="s">
        <v>506</v>
      </c>
      <c r="F139" s="284"/>
      <c r="G139" s="284"/>
      <c r="H139" s="284"/>
      <c r="I139" s="327"/>
      <c r="J139" s="327"/>
      <c r="K139" s="327"/>
      <c r="L139" s="327"/>
      <c r="M139" s="327"/>
      <c r="N139" s="326"/>
      <c r="O139" s="326"/>
      <c r="P139" s="326"/>
      <c r="Q139" s="326"/>
      <c r="R139" s="339">
        <f t="shared" si="75"/>
        <v>947.33450000000016</v>
      </c>
      <c r="S139" s="328"/>
      <c r="T139" s="327">
        <f>Sheet1!H14</f>
        <v>947.33450000000016</v>
      </c>
      <c r="U139" s="327">
        <f t="shared" si="76"/>
        <v>0</v>
      </c>
      <c r="V139" s="327"/>
      <c r="W139" s="339"/>
      <c r="X139" s="130">
        <f t="shared" si="59"/>
        <v>0</v>
      </c>
      <c r="Y139" s="326"/>
    </row>
    <row r="140" spans="1:26" ht="30">
      <c r="A140" s="290" t="s">
        <v>98</v>
      </c>
      <c r="B140" s="283" t="s">
        <v>507</v>
      </c>
      <c r="C140" s="290" t="s">
        <v>63</v>
      </c>
      <c r="D140" s="290" t="s">
        <v>63</v>
      </c>
      <c r="E140" s="282" t="s">
        <v>508</v>
      </c>
      <c r="F140" s="284"/>
      <c r="G140" s="284"/>
      <c r="H140" s="284"/>
      <c r="I140" s="327"/>
      <c r="J140" s="327"/>
      <c r="K140" s="327"/>
      <c r="L140" s="327"/>
      <c r="M140" s="327"/>
      <c r="N140" s="326"/>
      <c r="O140" s="326"/>
      <c r="P140" s="326"/>
      <c r="Q140" s="326"/>
      <c r="R140" s="339">
        <f t="shared" si="75"/>
        <v>956.06899999999996</v>
      </c>
      <c r="S140" s="328"/>
      <c r="T140" s="327">
        <f>Sheet1!H15</f>
        <v>956.06899999999996</v>
      </c>
      <c r="U140" s="327">
        <f t="shared" si="76"/>
        <v>0</v>
      </c>
      <c r="V140" s="327"/>
      <c r="W140" s="339"/>
      <c r="X140" s="130">
        <f t="shared" si="59"/>
        <v>0</v>
      </c>
      <c r="Y140" s="326"/>
    </row>
    <row r="141" spans="1:26" ht="30" customHeight="1">
      <c r="A141" s="290" t="s">
        <v>509</v>
      </c>
      <c r="B141" s="283" t="s">
        <v>510</v>
      </c>
      <c r="C141" s="282" t="s">
        <v>44</v>
      </c>
      <c r="D141" s="290" t="s">
        <v>44</v>
      </c>
      <c r="E141" s="282" t="s">
        <v>511</v>
      </c>
      <c r="F141" s="284"/>
      <c r="G141" s="284"/>
      <c r="H141" s="284"/>
      <c r="I141" s="327"/>
      <c r="J141" s="327"/>
      <c r="K141" s="327"/>
      <c r="L141" s="327"/>
      <c r="M141" s="327"/>
      <c r="N141" s="326"/>
      <c r="O141" s="326"/>
      <c r="P141" s="326"/>
      <c r="Q141" s="326"/>
      <c r="R141" s="339">
        <f t="shared" si="75"/>
        <v>1062.9390000000001</v>
      </c>
      <c r="S141" s="328"/>
      <c r="T141" s="327">
        <f>Sheet1!H16</f>
        <v>1062.9390000000001</v>
      </c>
      <c r="U141" s="327">
        <f t="shared" si="76"/>
        <v>0</v>
      </c>
      <c r="V141" s="327"/>
      <c r="W141" s="339"/>
      <c r="X141" s="130">
        <f t="shared" si="59"/>
        <v>0</v>
      </c>
      <c r="Y141" s="326"/>
    </row>
    <row r="142" spans="1:26" ht="30">
      <c r="A142" s="290" t="s">
        <v>512</v>
      </c>
      <c r="B142" s="283" t="s">
        <v>513</v>
      </c>
      <c r="C142" s="282" t="s">
        <v>52</v>
      </c>
      <c r="D142" s="290" t="s">
        <v>52</v>
      </c>
      <c r="E142" s="282" t="s">
        <v>514</v>
      </c>
      <c r="F142" s="284"/>
      <c r="G142" s="284"/>
      <c r="H142" s="284"/>
      <c r="I142" s="327"/>
      <c r="J142" s="327"/>
      <c r="K142" s="327"/>
      <c r="L142" s="327"/>
      <c r="M142" s="327"/>
      <c r="N142" s="326"/>
      <c r="O142" s="326"/>
      <c r="P142" s="326"/>
      <c r="Q142" s="326"/>
      <c r="R142" s="339">
        <f t="shared" si="75"/>
        <v>1060.6602019999998</v>
      </c>
      <c r="S142" s="328"/>
      <c r="T142" s="327">
        <f>Sheet1!H17</f>
        <v>1060.6602019999998</v>
      </c>
      <c r="U142" s="327">
        <f t="shared" si="76"/>
        <v>0</v>
      </c>
      <c r="V142" s="327"/>
      <c r="W142" s="339"/>
      <c r="X142" s="130">
        <f t="shared" si="59"/>
        <v>0</v>
      </c>
      <c r="Y142" s="326"/>
    </row>
    <row r="143" spans="1:26" ht="30">
      <c r="A143" s="290" t="s">
        <v>515</v>
      </c>
      <c r="B143" s="283" t="s">
        <v>516</v>
      </c>
      <c r="C143" s="282" t="s">
        <v>51</v>
      </c>
      <c r="D143" s="290" t="s">
        <v>51</v>
      </c>
      <c r="E143" s="282" t="s">
        <v>517</v>
      </c>
      <c r="F143" s="284"/>
      <c r="G143" s="284"/>
      <c r="H143" s="284"/>
      <c r="I143" s="327"/>
      <c r="J143" s="327"/>
      <c r="K143" s="327"/>
      <c r="L143" s="327"/>
      <c r="M143" s="327"/>
      <c r="N143" s="326"/>
      <c r="O143" s="326"/>
      <c r="P143" s="326"/>
      <c r="Q143" s="326"/>
      <c r="R143" s="339">
        <f t="shared" si="75"/>
        <v>51.193182999999863</v>
      </c>
      <c r="S143" s="328"/>
      <c r="T143" s="327">
        <f>Sheet1!H18</f>
        <v>51.193182999999863</v>
      </c>
      <c r="U143" s="327">
        <f t="shared" si="76"/>
        <v>0</v>
      </c>
      <c r="V143" s="327"/>
      <c r="W143" s="339"/>
      <c r="X143" s="130">
        <f t="shared" si="59"/>
        <v>0</v>
      </c>
      <c r="Y143" s="326"/>
    </row>
    <row r="144" spans="1:26" ht="30">
      <c r="A144" s="290" t="s">
        <v>518</v>
      </c>
      <c r="B144" s="283" t="s">
        <v>519</v>
      </c>
      <c r="C144" s="282" t="s">
        <v>46</v>
      </c>
      <c r="D144" s="290" t="s">
        <v>46</v>
      </c>
      <c r="E144" s="282" t="s">
        <v>520</v>
      </c>
      <c r="F144" s="284"/>
      <c r="G144" s="284"/>
      <c r="H144" s="284"/>
      <c r="I144" s="327"/>
      <c r="J144" s="327"/>
      <c r="K144" s="327"/>
      <c r="L144" s="327"/>
      <c r="M144" s="327"/>
      <c r="N144" s="326"/>
      <c r="O144" s="326"/>
      <c r="P144" s="326"/>
      <c r="Q144" s="326"/>
      <c r="R144" s="339">
        <f t="shared" si="75"/>
        <v>112.57851100000062</v>
      </c>
      <c r="S144" s="328"/>
      <c r="T144" s="327">
        <f>Sheet1!H19</f>
        <v>112.57851100000062</v>
      </c>
      <c r="U144" s="327">
        <f t="shared" si="76"/>
        <v>0</v>
      </c>
      <c r="V144" s="327"/>
      <c r="W144" s="339"/>
      <c r="X144" s="130">
        <f t="shared" si="59"/>
        <v>0</v>
      </c>
      <c r="Y144" s="326"/>
    </row>
    <row r="145" spans="1:25" ht="27.75" customHeight="1">
      <c r="A145" s="290" t="s">
        <v>521</v>
      </c>
      <c r="B145" s="283" t="s">
        <v>522</v>
      </c>
      <c r="C145" s="282" t="s">
        <v>64</v>
      </c>
      <c r="D145" s="290" t="s">
        <v>64</v>
      </c>
      <c r="E145" s="282" t="s">
        <v>523</v>
      </c>
      <c r="F145" s="284"/>
      <c r="G145" s="284"/>
      <c r="H145" s="284"/>
      <c r="I145" s="327"/>
      <c r="J145" s="327"/>
      <c r="K145" s="327"/>
      <c r="L145" s="327"/>
      <c r="M145" s="327"/>
      <c r="N145" s="326"/>
      <c r="O145" s="326"/>
      <c r="P145" s="326"/>
      <c r="Q145" s="326"/>
      <c r="R145" s="339">
        <f t="shared" si="75"/>
        <v>1041.8610000000001</v>
      </c>
      <c r="S145" s="328"/>
      <c r="T145" s="327">
        <f>Sheet1!H20</f>
        <v>1041.8610000000001</v>
      </c>
      <c r="U145" s="327">
        <f t="shared" si="76"/>
        <v>1041.8610000000001</v>
      </c>
      <c r="V145" s="327"/>
      <c r="W145" s="339">
        <v>1041.8610000000001</v>
      </c>
      <c r="X145" s="130">
        <f t="shared" si="59"/>
        <v>100</v>
      </c>
      <c r="Y145" s="326"/>
    </row>
    <row r="146" spans="1:25" ht="30">
      <c r="A146" s="290" t="s">
        <v>524</v>
      </c>
      <c r="B146" s="283" t="s">
        <v>525</v>
      </c>
      <c r="C146" s="282" t="s">
        <v>62</v>
      </c>
      <c r="D146" s="290" t="s">
        <v>62</v>
      </c>
      <c r="E146" s="282" t="s">
        <v>526</v>
      </c>
      <c r="F146" s="284"/>
      <c r="G146" s="284"/>
      <c r="H146" s="284"/>
      <c r="I146" s="327"/>
      <c r="J146" s="327"/>
      <c r="K146" s="327"/>
      <c r="L146" s="327"/>
      <c r="M146" s="327"/>
      <c r="N146" s="326"/>
      <c r="O146" s="326"/>
      <c r="P146" s="326"/>
      <c r="Q146" s="326"/>
      <c r="R146" s="339">
        <f t="shared" si="75"/>
        <v>983.59600000000023</v>
      </c>
      <c r="S146" s="328"/>
      <c r="T146" s="327">
        <f>Sheet1!H21</f>
        <v>983.59600000000023</v>
      </c>
      <c r="U146" s="327">
        <f t="shared" si="76"/>
        <v>0</v>
      </c>
      <c r="V146" s="327"/>
      <c r="W146" s="339"/>
      <c r="X146" s="130">
        <f t="shared" si="59"/>
        <v>0</v>
      </c>
      <c r="Y146" s="326"/>
    </row>
    <row r="147" spans="1:25" ht="30">
      <c r="A147" s="290" t="s">
        <v>527</v>
      </c>
      <c r="B147" s="283" t="s">
        <v>528</v>
      </c>
      <c r="C147" s="282" t="s">
        <v>65</v>
      </c>
      <c r="D147" s="290" t="s">
        <v>65</v>
      </c>
      <c r="E147" s="282" t="s">
        <v>529</v>
      </c>
      <c r="F147" s="284"/>
      <c r="G147" s="284"/>
      <c r="H147" s="284"/>
      <c r="I147" s="327"/>
      <c r="J147" s="327"/>
      <c r="K147" s="327"/>
      <c r="L147" s="327"/>
      <c r="M147" s="327"/>
      <c r="N147" s="326"/>
      <c r="O147" s="326"/>
      <c r="P147" s="326"/>
      <c r="Q147" s="326"/>
      <c r="R147" s="339">
        <f t="shared" si="75"/>
        <v>1124.89456</v>
      </c>
      <c r="S147" s="328"/>
      <c r="T147" s="327">
        <f>Sheet1!H22</f>
        <v>1124.89456</v>
      </c>
      <c r="U147" s="327">
        <f t="shared" si="76"/>
        <v>0</v>
      </c>
      <c r="V147" s="327"/>
      <c r="W147" s="339"/>
      <c r="X147" s="130">
        <f t="shared" si="59"/>
        <v>0</v>
      </c>
      <c r="Y147" s="326"/>
    </row>
    <row r="148" spans="1:25" ht="30">
      <c r="A148" s="290" t="s">
        <v>530</v>
      </c>
      <c r="B148" s="283" t="s">
        <v>531</v>
      </c>
      <c r="C148" s="282" t="s">
        <v>66</v>
      </c>
      <c r="D148" s="290" t="s">
        <v>66</v>
      </c>
      <c r="E148" s="282" t="s">
        <v>532</v>
      </c>
      <c r="F148" s="326"/>
      <c r="G148" s="326"/>
      <c r="H148" s="326"/>
      <c r="I148" s="327"/>
      <c r="J148" s="327"/>
      <c r="K148" s="327"/>
      <c r="L148" s="327"/>
      <c r="M148" s="327"/>
      <c r="N148" s="326"/>
      <c r="O148" s="326"/>
      <c r="P148" s="326"/>
      <c r="Q148" s="326"/>
      <c r="R148" s="339">
        <f t="shared" si="75"/>
        <v>1046.27216</v>
      </c>
      <c r="S148" s="328"/>
      <c r="T148" s="327">
        <f>Sheet1!H23</f>
        <v>1046.27216</v>
      </c>
      <c r="U148" s="327">
        <f t="shared" si="76"/>
        <v>2421.3108400000001</v>
      </c>
      <c r="V148" s="327"/>
      <c r="W148" s="581">
        <v>2421.3108400000001</v>
      </c>
      <c r="X148" s="130">
        <f t="shared" si="59"/>
        <v>231.42265775283556</v>
      </c>
      <c r="Y148" s="326"/>
    </row>
    <row r="149" spans="1:25" s="202" customFormat="1">
      <c r="A149" s="281">
        <v>4</v>
      </c>
      <c r="B149" s="288" t="s">
        <v>533</v>
      </c>
      <c r="C149" s="280"/>
      <c r="D149" s="280"/>
      <c r="E149" s="275"/>
      <c r="F149" s="276"/>
      <c r="G149" s="276"/>
      <c r="H149" s="276"/>
      <c r="I149" s="331"/>
      <c r="J149" s="331"/>
      <c r="K149" s="331"/>
      <c r="L149" s="331"/>
      <c r="M149" s="331"/>
      <c r="N149" s="332"/>
      <c r="O149" s="332"/>
      <c r="P149" s="332"/>
      <c r="Q149" s="332"/>
      <c r="R149" s="340">
        <f t="shared" si="75"/>
        <v>3418.2290000000003</v>
      </c>
      <c r="S149" s="333"/>
      <c r="T149" s="331">
        <f>SUM(T150:T159)</f>
        <v>3418.2290000000003</v>
      </c>
      <c r="U149" s="331">
        <f>SUM(U150:U159)</f>
        <v>66.585999999999999</v>
      </c>
      <c r="V149" s="331">
        <f t="shared" ref="V149:W149" si="78">SUM(V150:V159)</f>
        <v>0</v>
      </c>
      <c r="W149" s="580">
        <f t="shared" si="78"/>
        <v>66.585999999999999</v>
      </c>
      <c r="X149" s="130">
        <f t="shared" si="59"/>
        <v>1.9479677926786061</v>
      </c>
      <c r="Y149" s="332"/>
    </row>
    <row r="150" spans="1:25" ht="15" customHeight="1">
      <c r="A150" s="334" t="s">
        <v>99</v>
      </c>
      <c r="B150" s="299" t="s">
        <v>535</v>
      </c>
      <c r="C150" s="618" t="s">
        <v>67</v>
      </c>
      <c r="D150" s="285" t="s">
        <v>23</v>
      </c>
      <c r="E150" s="286" t="s">
        <v>536</v>
      </c>
      <c r="F150" s="326"/>
      <c r="G150" s="326"/>
      <c r="H150" s="326"/>
      <c r="I150" s="327"/>
      <c r="J150" s="327"/>
      <c r="K150" s="327"/>
      <c r="L150" s="327"/>
      <c r="M150" s="327"/>
      <c r="N150" s="326"/>
      <c r="O150" s="326"/>
      <c r="P150" s="326"/>
      <c r="Q150" s="326"/>
      <c r="R150" s="339">
        <f t="shared" si="75"/>
        <v>140.559</v>
      </c>
      <c r="S150" s="328"/>
      <c r="T150" s="327">
        <f>Sheet1!H25</f>
        <v>140.559</v>
      </c>
      <c r="U150" s="327">
        <f t="shared" si="76"/>
        <v>0</v>
      </c>
      <c r="V150" s="327"/>
      <c r="W150" s="339"/>
      <c r="X150" s="130">
        <f t="shared" si="59"/>
        <v>0</v>
      </c>
      <c r="Y150" s="326"/>
    </row>
    <row r="151" spans="1:25">
      <c r="A151" s="334" t="s">
        <v>102</v>
      </c>
      <c r="B151" s="299" t="s">
        <v>538</v>
      </c>
      <c r="C151" s="619"/>
      <c r="D151" s="285" t="s">
        <v>22</v>
      </c>
      <c r="E151" s="286" t="s">
        <v>539</v>
      </c>
      <c r="F151" s="326"/>
      <c r="G151" s="326"/>
      <c r="H151" s="326"/>
      <c r="I151" s="327"/>
      <c r="J151" s="327"/>
      <c r="K151" s="327"/>
      <c r="L151" s="327"/>
      <c r="M151" s="327"/>
      <c r="N151" s="326"/>
      <c r="O151" s="326"/>
      <c r="P151" s="326"/>
      <c r="Q151" s="326"/>
      <c r="R151" s="339">
        <f t="shared" si="75"/>
        <v>274.56799999999998</v>
      </c>
      <c r="S151" s="328"/>
      <c r="T151" s="327">
        <f>Sheet1!H26</f>
        <v>274.56799999999998</v>
      </c>
      <c r="U151" s="327">
        <f t="shared" si="76"/>
        <v>0</v>
      </c>
      <c r="V151" s="327"/>
      <c r="W151" s="339"/>
      <c r="X151" s="130">
        <f t="shared" si="59"/>
        <v>0</v>
      </c>
      <c r="Y151" s="326"/>
    </row>
    <row r="152" spans="1:25">
      <c r="A152" s="334" t="s">
        <v>103</v>
      </c>
      <c r="B152" s="299" t="s">
        <v>541</v>
      </c>
      <c r="C152" s="619"/>
      <c r="D152" s="285" t="s">
        <v>101</v>
      </c>
      <c r="E152" s="286" t="s">
        <v>542</v>
      </c>
      <c r="F152" s="326"/>
      <c r="G152" s="326"/>
      <c r="H152" s="326"/>
      <c r="I152" s="327"/>
      <c r="J152" s="327"/>
      <c r="K152" s="327"/>
      <c r="L152" s="327"/>
      <c r="M152" s="327"/>
      <c r="N152" s="326"/>
      <c r="O152" s="326"/>
      <c r="P152" s="326"/>
      <c r="Q152" s="326"/>
      <c r="R152" s="339">
        <f t="shared" si="75"/>
        <v>286.221</v>
      </c>
      <c r="S152" s="328"/>
      <c r="T152" s="327">
        <f>Sheet1!H27</f>
        <v>286.221</v>
      </c>
      <c r="U152" s="327">
        <f t="shared" si="76"/>
        <v>0</v>
      </c>
      <c r="V152" s="327"/>
      <c r="W152" s="339"/>
      <c r="X152" s="130">
        <f t="shared" si="59"/>
        <v>0</v>
      </c>
      <c r="Y152" s="326"/>
    </row>
    <row r="153" spans="1:25">
      <c r="A153" s="334" t="s">
        <v>104</v>
      </c>
      <c r="B153" s="299" t="s">
        <v>544</v>
      </c>
      <c r="C153" s="619"/>
      <c r="D153" s="285" t="s">
        <v>19</v>
      </c>
      <c r="E153" s="286" t="s">
        <v>545</v>
      </c>
      <c r="F153" s="326"/>
      <c r="G153" s="326"/>
      <c r="H153" s="326"/>
      <c r="I153" s="327"/>
      <c r="J153" s="327"/>
      <c r="K153" s="327"/>
      <c r="L153" s="327"/>
      <c r="M153" s="327"/>
      <c r="N153" s="326"/>
      <c r="O153" s="326"/>
      <c r="P153" s="326"/>
      <c r="Q153" s="326"/>
      <c r="R153" s="339">
        <f t="shared" si="75"/>
        <v>64.825000000000045</v>
      </c>
      <c r="S153" s="328"/>
      <c r="T153" s="327">
        <f>Sheet1!H28</f>
        <v>64.825000000000045</v>
      </c>
      <c r="U153" s="327">
        <f t="shared" si="76"/>
        <v>46.826000000000001</v>
      </c>
      <c r="V153" s="327"/>
      <c r="W153" s="339">
        <v>46.826000000000001</v>
      </c>
      <c r="X153" s="130">
        <f t="shared" si="59"/>
        <v>72.234477439259493</v>
      </c>
      <c r="Y153" s="326"/>
    </row>
    <row r="154" spans="1:25">
      <c r="A154" s="334" t="s">
        <v>389</v>
      </c>
      <c r="B154" s="299" t="s">
        <v>547</v>
      </c>
      <c r="C154" s="619"/>
      <c r="D154" s="285" t="s">
        <v>22</v>
      </c>
      <c r="E154" s="286" t="s">
        <v>548</v>
      </c>
      <c r="F154" s="326"/>
      <c r="G154" s="326"/>
      <c r="H154" s="326"/>
      <c r="I154" s="327"/>
      <c r="J154" s="327"/>
      <c r="K154" s="327"/>
      <c r="L154" s="327"/>
      <c r="M154" s="327"/>
      <c r="N154" s="326"/>
      <c r="O154" s="326"/>
      <c r="P154" s="326"/>
      <c r="Q154" s="326"/>
      <c r="R154" s="339">
        <f t="shared" si="75"/>
        <v>447.65300000000002</v>
      </c>
      <c r="S154" s="328"/>
      <c r="T154" s="327">
        <f>Sheet1!H29</f>
        <v>447.65300000000002</v>
      </c>
      <c r="U154" s="327">
        <f t="shared" si="76"/>
        <v>0</v>
      </c>
      <c r="V154" s="327"/>
      <c r="W154" s="339"/>
      <c r="X154" s="130">
        <f t="shared" si="59"/>
        <v>0</v>
      </c>
      <c r="Y154" s="326"/>
    </row>
    <row r="155" spans="1:25">
      <c r="A155" s="334" t="s">
        <v>393</v>
      </c>
      <c r="B155" s="299" t="s">
        <v>550</v>
      </c>
      <c r="C155" s="619"/>
      <c r="D155" s="285" t="s">
        <v>100</v>
      </c>
      <c r="E155" s="286" t="s">
        <v>551</v>
      </c>
      <c r="F155" s="326"/>
      <c r="G155" s="326"/>
      <c r="H155" s="326"/>
      <c r="I155" s="327"/>
      <c r="J155" s="327"/>
      <c r="K155" s="327"/>
      <c r="L155" s="327"/>
      <c r="M155" s="327"/>
      <c r="N155" s="326"/>
      <c r="O155" s="326"/>
      <c r="P155" s="326"/>
      <c r="Q155" s="326"/>
      <c r="R155" s="339">
        <f t="shared" si="75"/>
        <v>447.50299999999999</v>
      </c>
      <c r="S155" s="328"/>
      <c r="T155" s="327">
        <f>Sheet1!H30</f>
        <v>447.50299999999999</v>
      </c>
      <c r="U155" s="327">
        <f t="shared" si="76"/>
        <v>0</v>
      </c>
      <c r="V155" s="327"/>
      <c r="W155" s="339"/>
      <c r="X155" s="130">
        <f t="shared" si="59"/>
        <v>0</v>
      </c>
      <c r="Y155" s="326"/>
    </row>
    <row r="156" spans="1:25">
      <c r="A156" s="334" t="s">
        <v>396</v>
      </c>
      <c r="B156" s="299" t="s">
        <v>553</v>
      </c>
      <c r="C156" s="619"/>
      <c r="D156" s="285" t="s">
        <v>23</v>
      </c>
      <c r="E156" s="286" t="s">
        <v>554</v>
      </c>
      <c r="F156" s="326"/>
      <c r="G156" s="326"/>
      <c r="H156" s="326"/>
      <c r="I156" s="327"/>
      <c r="J156" s="327"/>
      <c r="K156" s="327"/>
      <c r="L156" s="327"/>
      <c r="M156" s="327"/>
      <c r="N156" s="326"/>
      <c r="O156" s="326"/>
      <c r="P156" s="326"/>
      <c r="Q156" s="326"/>
      <c r="R156" s="339">
        <f t="shared" si="75"/>
        <v>6.6779999999999973</v>
      </c>
      <c r="S156" s="328"/>
      <c r="T156" s="327">
        <f>Sheet1!H31</f>
        <v>6.6779999999999973</v>
      </c>
      <c r="U156" s="327">
        <f t="shared" si="76"/>
        <v>0</v>
      </c>
      <c r="V156" s="327"/>
      <c r="W156" s="339"/>
      <c r="X156" s="130">
        <f t="shared" si="59"/>
        <v>0</v>
      </c>
      <c r="Y156" s="326"/>
    </row>
    <row r="157" spans="1:25">
      <c r="A157" s="334" t="s">
        <v>765</v>
      </c>
      <c r="B157" s="287" t="s">
        <v>541</v>
      </c>
      <c r="C157" s="619"/>
      <c r="D157" s="290" t="s">
        <v>101</v>
      </c>
      <c r="E157" s="282" t="s">
        <v>556</v>
      </c>
      <c r="F157" s="326"/>
      <c r="G157" s="326"/>
      <c r="H157" s="326"/>
      <c r="I157" s="327"/>
      <c r="J157" s="327"/>
      <c r="K157" s="327"/>
      <c r="L157" s="327"/>
      <c r="M157" s="327"/>
      <c r="N157" s="326"/>
      <c r="O157" s="326"/>
      <c r="P157" s="326"/>
      <c r="Q157" s="326"/>
      <c r="R157" s="339">
        <f t="shared" si="75"/>
        <v>447.59899999999999</v>
      </c>
      <c r="S157" s="328"/>
      <c r="T157" s="327">
        <f>Sheet1!H32</f>
        <v>447.59899999999999</v>
      </c>
      <c r="U157" s="327">
        <f t="shared" si="76"/>
        <v>0</v>
      </c>
      <c r="V157" s="327"/>
      <c r="W157" s="339"/>
      <c r="X157" s="130">
        <f t="shared" si="59"/>
        <v>0</v>
      </c>
      <c r="Y157" s="326"/>
    </row>
    <row r="158" spans="1:25">
      <c r="A158" s="334" t="s">
        <v>766</v>
      </c>
      <c r="B158" s="287" t="s">
        <v>558</v>
      </c>
      <c r="C158" s="619"/>
      <c r="D158" s="290" t="s">
        <v>21</v>
      </c>
      <c r="E158" s="282" t="s">
        <v>559</v>
      </c>
      <c r="F158" s="326"/>
      <c r="G158" s="326"/>
      <c r="H158" s="326"/>
      <c r="I158" s="327"/>
      <c r="J158" s="327"/>
      <c r="K158" s="327"/>
      <c r="L158" s="327"/>
      <c r="M158" s="327"/>
      <c r="N158" s="326"/>
      <c r="O158" s="326"/>
      <c r="P158" s="326"/>
      <c r="Q158" s="326"/>
      <c r="R158" s="339">
        <f t="shared" si="75"/>
        <v>447.46899999999999</v>
      </c>
      <c r="S158" s="328"/>
      <c r="T158" s="327">
        <f>Sheet1!H33</f>
        <v>447.46899999999999</v>
      </c>
      <c r="U158" s="327">
        <f t="shared" si="76"/>
        <v>0</v>
      </c>
      <c r="V158" s="327"/>
      <c r="W158" s="339"/>
      <c r="X158" s="130">
        <f t="shared" si="59"/>
        <v>0</v>
      </c>
      <c r="Y158" s="326"/>
    </row>
    <row r="159" spans="1:25">
      <c r="A159" s="334" t="s">
        <v>767</v>
      </c>
      <c r="B159" s="287" t="s">
        <v>561</v>
      </c>
      <c r="C159" s="620"/>
      <c r="D159" s="290" t="s">
        <v>19</v>
      </c>
      <c r="E159" s="282" t="s">
        <v>562</v>
      </c>
      <c r="F159" s="326"/>
      <c r="G159" s="326"/>
      <c r="H159" s="326"/>
      <c r="I159" s="327"/>
      <c r="J159" s="327"/>
      <c r="K159" s="327"/>
      <c r="L159" s="327"/>
      <c r="M159" s="327"/>
      <c r="N159" s="326"/>
      <c r="O159" s="326"/>
      <c r="P159" s="326"/>
      <c r="Q159" s="326"/>
      <c r="R159" s="339">
        <f t="shared" si="75"/>
        <v>855.154</v>
      </c>
      <c r="S159" s="328"/>
      <c r="T159" s="327">
        <f>Sheet1!H34</f>
        <v>855.154</v>
      </c>
      <c r="U159" s="327">
        <f t="shared" si="76"/>
        <v>19.760000000000002</v>
      </c>
      <c r="V159" s="327"/>
      <c r="W159" s="339">
        <v>19.760000000000002</v>
      </c>
      <c r="X159" s="130">
        <f t="shared" si="59"/>
        <v>2.3106949157695573</v>
      </c>
      <c r="Y159" s="326"/>
    </row>
    <row r="160" spans="1:25" s="202" customFormat="1">
      <c r="A160" s="281">
        <v>5</v>
      </c>
      <c r="B160" s="288" t="s">
        <v>38</v>
      </c>
      <c r="C160" s="280"/>
      <c r="D160" s="280"/>
      <c r="E160" s="275"/>
      <c r="F160" s="276"/>
      <c r="G160" s="276"/>
      <c r="H160" s="276"/>
      <c r="I160" s="331"/>
      <c r="J160" s="331"/>
      <c r="K160" s="331"/>
      <c r="L160" s="331"/>
      <c r="M160" s="331"/>
      <c r="N160" s="332"/>
      <c r="O160" s="332"/>
      <c r="P160" s="332"/>
      <c r="Q160" s="332"/>
      <c r="R160" s="340">
        <f t="shared" si="75"/>
        <v>1315.0280000000002</v>
      </c>
      <c r="S160" s="333"/>
      <c r="T160" s="331">
        <f>T161</f>
        <v>1315.0280000000002</v>
      </c>
      <c r="U160" s="331">
        <f t="shared" ref="U160:W160" si="79">U161</f>
        <v>1002.949</v>
      </c>
      <c r="V160" s="331">
        <f t="shared" si="79"/>
        <v>0</v>
      </c>
      <c r="W160" s="580">
        <f t="shared" si="79"/>
        <v>1002.949</v>
      </c>
      <c r="X160" s="130">
        <f t="shared" si="59"/>
        <v>76.268261968566435</v>
      </c>
      <c r="Y160" s="332"/>
    </row>
    <row r="161" spans="1:25" s="202" customFormat="1">
      <c r="A161" s="281"/>
      <c r="B161" s="288" t="s">
        <v>107</v>
      </c>
      <c r="C161" s="280"/>
      <c r="D161" s="280"/>
      <c r="E161" s="275"/>
      <c r="F161" s="276"/>
      <c r="G161" s="276"/>
      <c r="H161" s="276"/>
      <c r="I161" s="331"/>
      <c r="J161" s="331"/>
      <c r="K161" s="331"/>
      <c r="L161" s="331"/>
      <c r="M161" s="331"/>
      <c r="N161" s="332"/>
      <c r="O161" s="332"/>
      <c r="P161" s="332"/>
      <c r="Q161" s="332"/>
      <c r="R161" s="340">
        <f t="shared" si="75"/>
        <v>1315.0280000000002</v>
      </c>
      <c r="S161" s="333"/>
      <c r="T161" s="331">
        <f>SUM(T162:T170)</f>
        <v>1315.0280000000002</v>
      </c>
      <c r="U161" s="331">
        <f t="shared" ref="U161:W161" si="80">SUM(U162:U170)</f>
        <v>1002.949</v>
      </c>
      <c r="V161" s="331">
        <f t="shared" si="80"/>
        <v>0</v>
      </c>
      <c r="W161" s="580">
        <f t="shared" si="80"/>
        <v>1002.949</v>
      </c>
      <c r="X161" s="130">
        <f t="shared" si="59"/>
        <v>76.268261968566435</v>
      </c>
      <c r="Y161" s="332"/>
    </row>
    <row r="162" spans="1:25">
      <c r="A162" s="334" t="s">
        <v>105</v>
      </c>
      <c r="B162" s="287" t="s">
        <v>564</v>
      </c>
      <c r="C162" s="637" t="s">
        <v>565</v>
      </c>
      <c r="D162" s="290" t="s">
        <v>24</v>
      </c>
      <c r="E162" s="303" t="s">
        <v>566</v>
      </c>
      <c r="F162" s="326"/>
      <c r="G162" s="326"/>
      <c r="H162" s="326"/>
      <c r="I162" s="327"/>
      <c r="J162" s="327"/>
      <c r="K162" s="327"/>
      <c r="L162" s="327"/>
      <c r="M162" s="327"/>
      <c r="N162" s="326"/>
      <c r="O162" s="326"/>
      <c r="P162" s="326"/>
      <c r="Q162" s="326"/>
      <c r="R162" s="339">
        <f t="shared" si="75"/>
        <v>161.892</v>
      </c>
      <c r="S162" s="328"/>
      <c r="T162" s="327">
        <f>Sheet1!H37</f>
        <v>161.892</v>
      </c>
      <c r="U162" s="327">
        <f t="shared" si="76"/>
        <v>133.12700000000001</v>
      </c>
      <c r="V162" s="327"/>
      <c r="W162" s="582">
        <v>133.12700000000001</v>
      </c>
      <c r="X162" s="130">
        <f>U162/R162*100</f>
        <v>82.231981815037187</v>
      </c>
      <c r="Y162" s="326"/>
    </row>
    <row r="163" spans="1:25">
      <c r="A163" s="334" t="s">
        <v>402</v>
      </c>
      <c r="B163" s="287" t="s">
        <v>568</v>
      </c>
      <c r="C163" s="637"/>
      <c r="D163" s="290" t="s">
        <v>21</v>
      </c>
      <c r="E163" s="303" t="s">
        <v>569</v>
      </c>
      <c r="F163" s="326"/>
      <c r="G163" s="326"/>
      <c r="H163" s="326"/>
      <c r="I163" s="327"/>
      <c r="J163" s="327"/>
      <c r="K163" s="327"/>
      <c r="L163" s="327"/>
      <c r="M163" s="327"/>
      <c r="N163" s="326"/>
      <c r="O163" s="326"/>
      <c r="P163" s="326"/>
      <c r="Q163" s="326"/>
      <c r="R163" s="339">
        <f t="shared" si="75"/>
        <v>161.892</v>
      </c>
      <c r="S163" s="328"/>
      <c r="T163" s="327">
        <f>Sheet1!H38</f>
        <v>161.892</v>
      </c>
      <c r="U163" s="327">
        <f t="shared" si="76"/>
        <v>124.327</v>
      </c>
      <c r="V163" s="327"/>
      <c r="W163" s="582">
        <v>124.327</v>
      </c>
      <c r="X163" s="130">
        <f t="shared" si="59"/>
        <v>76.796259234551428</v>
      </c>
      <c r="Y163" s="326"/>
    </row>
    <row r="164" spans="1:25">
      <c r="A164" s="334" t="s">
        <v>768</v>
      </c>
      <c r="B164" s="287" t="s">
        <v>571</v>
      </c>
      <c r="C164" s="637"/>
      <c r="D164" s="290" t="s">
        <v>21</v>
      </c>
      <c r="E164" s="303" t="s">
        <v>572</v>
      </c>
      <c r="F164" s="326"/>
      <c r="G164" s="326"/>
      <c r="H164" s="326"/>
      <c r="I164" s="327"/>
      <c r="J164" s="327"/>
      <c r="K164" s="327"/>
      <c r="L164" s="327"/>
      <c r="M164" s="327"/>
      <c r="N164" s="326"/>
      <c r="O164" s="326"/>
      <c r="P164" s="326"/>
      <c r="Q164" s="326"/>
      <c r="R164" s="339">
        <f t="shared" si="75"/>
        <v>161.892</v>
      </c>
      <c r="S164" s="328"/>
      <c r="T164" s="327">
        <f>Sheet1!H39</f>
        <v>161.892</v>
      </c>
      <c r="U164" s="327">
        <f t="shared" si="76"/>
        <v>123.527</v>
      </c>
      <c r="V164" s="327"/>
      <c r="W164" s="582">
        <v>123.527</v>
      </c>
      <c r="X164" s="130">
        <f t="shared" si="59"/>
        <v>76.302102636325458</v>
      </c>
      <c r="Y164" s="326"/>
    </row>
    <row r="165" spans="1:25">
      <c r="A165" s="334" t="s">
        <v>769</v>
      </c>
      <c r="B165" s="287" t="s">
        <v>574</v>
      </c>
      <c r="C165" s="637"/>
      <c r="D165" s="290" t="s">
        <v>20</v>
      </c>
      <c r="E165" s="303" t="s">
        <v>575</v>
      </c>
      <c r="F165" s="326"/>
      <c r="G165" s="326"/>
      <c r="H165" s="326"/>
      <c r="I165" s="327"/>
      <c r="J165" s="327"/>
      <c r="K165" s="327"/>
      <c r="L165" s="327"/>
      <c r="M165" s="327"/>
      <c r="N165" s="326"/>
      <c r="O165" s="326"/>
      <c r="P165" s="326"/>
      <c r="Q165" s="326"/>
      <c r="R165" s="339">
        <f t="shared" si="75"/>
        <v>161.892</v>
      </c>
      <c r="S165" s="328"/>
      <c r="T165" s="327">
        <f>Sheet1!H40</f>
        <v>161.892</v>
      </c>
      <c r="U165" s="327">
        <f t="shared" si="76"/>
        <v>94.388000000000005</v>
      </c>
      <c r="V165" s="327"/>
      <c r="W165" s="582">
        <v>94.388000000000005</v>
      </c>
      <c r="X165" s="130">
        <f t="shared" si="59"/>
        <v>58.303066241691994</v>
      </c>
      <c r="Y165" s="326"/>
    </row>
    <row r="166" spans="1:25">
      <c r="A166" s="334" t="s">
        <v>770</v>
      </c>
      <c r="B166" s="287" t="s">
        <v>577</v>
      </c>
      <c r="C166" s="637"/>
      <c r="D166" s="290" t="s">
        <v>22</v>
      </c>
      <c r="E166" s="303" t="s">
        <v>578</v>
      </c>
      <c r="F166" s="326"/>
      <c r="G166" s="326"/>
      <c r="H166" s="326"/>
      <c r="I166" s="327"/>
      <c r="J166" s="327"/>
      <c r="K166" s="327"/>
      <c r="L166" s="327"/>
      <c r="M166" s="327"/>
      <c r="N166" s="326"/>
      <c r="O166" s="326"/>
      <c r="P166" s="326"/>
      <c r="Q166" s="326"/>
      <c r="R166" s="339">
        <f t="shared" si="75"/>
        <v>161.892</v>
      </c>
      <c r="S166" s="328"/>
      <c r="T166" s="327">
        <f>Sheet1!H41</f>
        <v>161.892</v>
      </c>
      <c r="U166" s="327">
        <f t="shared" si="76"/>
        <v>94.703999999999994</v>
      </c>
      <c r="V166" s="327"/>
      <c r="W166" s="582">
        <v>94.703999999999994</v>
      </c>
      <c r="X166" s="130">
        <f t="shared" si="59"/>
        <v>58.498258097991254</v>
      </c>
      <c r="Y166" s="326"/>
    </row>
    <row r="167" spans="1:25">
      <c r="A167" s="334" t="s">
        <v>771</v>
      </c>
      <c r="B167" s="287" t="s">
        <v>580</v>
      </c>
      <c r="C167" s="637"/>
      <c r="D167" s="290" t="s">
        <v>18</v>
      </c>
      <c r="E167" s="303" t="s">
        <v>581</v>
      </c>
      <c r="F167" s="326"/>
      <c r="G167" s="326"/>
      <c r="H167" s="326"/>
      <c r="I167" s="327"/>
      <c r="J167" s="327"/>
      <c r="K167" s="327"/>
      <c r="L167" s="327"/>
      <c r="M167" s="327"/>
      <c r="N167" s="326"/>
      <c r="O167" s="326"/>
      <c r="P167" s="326"/>
      <c r="Q167" s="326"/>
      <c r="R167" s="339">
        <f t="shared" si="75"/>
        <v>161.892</v>
      </c>
      <c r="S167" s="328"/>
      <c r="T167" s="327">
        <f>Sheet1!H42</f>
        <v>161.892</v>
      </c>
      <c r="U167" s="327">
        <f t="shared" si="76"/>
        <v>144.316</v>
      </c>
      <c r="V167" s="327"/>
      <c r="W167" s="582">
        <v>144.316</v>
      </c>
      <c r="X167" s="130">
        <f t="shared" si="59"/>
        <v>89.143379536975274</v>
      </c>
      <c r="Y167" s="326"/>
    </row>
    <row r="168" spans="1:25">
      <c r="A168" s="334" t="s">
        <v>772</v>
      </c>
      <c r="B168" s="287" t="s">
        <v>583</v>
      </c>
      <c r="C168" s="637"/>
      <c r="D168" s="290" t="s">
        <v>101</v>
      </c>
      <c r="E168" s="282" t="s">
        <v>584</v>
      </c>
      <c r="F168" s="326"/>
      <c r="G168" s="326"/>
      <c r="H168" s="326"/>
      <c r="I168" s="327"/>
      <c r="J168" s="327"/>
      <c r="K168" s="327"/>
      <c r="L168" s="327"/>
      <c r="M168" s="327"/>
      <c r="N168" s="326"/>
      <c r="O168" s="326"/>
      <c r="P168" s="326"/>
      <c r="Q168" s="326"/>
      <c r="R168" s="339">
        <f t="shared" si="75"/>
        <v>161.892</v>
      </c>
      <c r="S168" s="328"/>
      <c r="T168" s="327">
        <f>Sheet1!H43</f>
        <v>161.892</v>
      </c>
      <c r="U168" s="327">
        <f t="shared" si="76"/>
        <v>146.78</v>
      </c>
      <c r="V168" s="327"/>
      <c r="W168" s="582">
        <v>146.78</v>
      </c>
      <c r="X168" s="130">
        <f t="shared" si="59"/>
        <v>90.665381859511285</v>
      </c>
      <c r="Y168" s="326"/>
    </row>
    <row r="169" spans="1:25">
      <c r="A169" s="334" t="s">
        <v>773</v>
      </c>
      <c r="B169" s="287" t="s">
        <v>586</v>
      </c>
      <c r="C169" s="637"/>
      <c r="D169" s="290" t="s">
        <v>101</v>
      </c>
      <c r="E169" s="282" t="s">
        <v>587</v>
      </c>
      <c r="F169" s="326"/>
      <c r="G169" s="326"/>
      <c r="H169" s="326"/>
      <c r="I169" s="327"/>
      <c r="J169" s="327"/>
      <c r="K169" s="327"/>
      <c r="L169" s="327"/>
      <c r="M169" s="327"/>
      <c r="N169" s="326"/>
      <c r="O169" s="326"/>
      <c r="P169" s="326"/>
      <c r="Q169" s="326"/>
      <c r="R169" s="339">
        <f t="shared" si="75"/>
        <v>90.891999999999996</v>
      </c>
      <c r="S169" s="328"/>
      <c r="T169" s="327">
        <f>Sheet1!H44</f>
        <v>90.891999999999996</v>
      </c>
      <c r="U169" s="327">
        <f t="shared" si="76"/>
        <v>75.78</v>
      </c>
      <c r="V169" s="327"/>
      <c r="W169" s="582">
        <v>75.78</v>
      </c>
      <c r="X169" s="130">
        <f t="shared" si="59"/>
        <v>83.373674250759137</v>
      </c>
      <c r="Y169" s="326"/>
    </row>
    <row r="170" spans="1:25">
      <c r="A170" s="334" t="s">
        <v>774</v>
      </c>
      <c r="B170" s="287" t="s">
        <v>589</v>
      </c>
      <c r="C170" s="637"/>
      <c r="D170" s="290" t="s">
        <v>17</v>
      </c>
      <c r="E170" s="282" t="s">
        <v>590</v>
      </c>
      <c r="F170" s="326"/>
      <c r="G170" s="326"/>
      <c r="H170" s="326"/>
      <c r="I170" s="327"/>
      <c r="J170" s="327"/>
      <c r="K170" s="327"/>
      <c r="L170" s="327"/>
      <c r="M170" s="327"/>
      <c r="N170" s="326"/>
      <c r="O170" s="326"/>
      <c r="P170" s="326"/>
      <c r="Q170" s="326"/>
      <c r="R170" s="339">
        <f t="shared" si="75"/>
        <v>90.891999999999996</v>
      </c>
      <c r="S170" s="328"/>
      <c r="T170" s="327">
        <f>Sheet1!H45</f>
        <v>90.891999999999996</v>
      </c>
      <c r="U170" s="327">
        <f t="shared" si="76"/>
        <v>66</v>
      </c>
      <c r="V170" s="327"/>
      <c r="W170" s="582">
        <v>66</v>
      </c>
      <c r="X170" s="130">
        <f t="shared" si="59"/>
        <v>72.613651366456907</v>
      </c>
      <c r="Y170" s="326"/>
    </row>
    <row r="171" spans="1:25" s="202" customFormat="1">
      <c r="A171" s="281">
        <v>6</v>
      </c>
      <c r="B171" s="288" t="s">
        <v>39</v>
      </c>
      <c r="C171" s="280"/>
      <c r="D171" s="280"/>
      <c r="E171" s="275"/>
      <c r="F171" s="276"/>
      <c r="G171" s="276"/>
      <c r="H171" s="276"/>
      <c r="I171" s="331"/>
      <c r="J171" s="331"/>
      <c r="K171" s="331"/>
      <c r="L171" s="331"/>
      <c r="M171" s="331"/>
      <c r="N171" s="332"/>
      <c r="O171" s="332"/>
      <c r="P171" s="332"/>
      <c r="Q171" s="332"/>
      <c r="R171" s="340">
        <f t="shared" si="75"/>
        <v>134.35194799999999</v>
      </c>
      <c r="S171" s="333"/>
      <c r="T171" s="331">
        <f>Sheet1!H46</f>
        <v>134.35194799999999</v>
      </c>
      <c r="U171" s="327">
        <f t="shared" si="76"/>
        <v>0</v>
      </c>
      <c r="V171" s="331"/>
      <c r="W171" s="340"/>
      <c r="X171" s="130">
        <f t="shared" ref="X171:X234" si="81">U171/R171*100</f>
        <v>0</v>
      </c>
      <c r="Y171" s="332"/>
    </row>
    <row r="172" spans="1:25" ht="30">
      <c r="A172" s="282" t="s">
        <v>29</v>
      </c>
      <c r="B172" s="287" t="s">
        <v>108</v>
      </c>
      <c r="C172" s="282" t="s">
        <v>565</v>
      </c>
      <c r="D172" s="290" t="s">
        <v>109</v>
      </c>
      <c r="E172" s="303" t="s">
        <v>591</v>
      </c>
      <c r="F172" s="326"/>
      <c r="G172" s="326"/>
      <c r="H172" s="326"/>
      <c r="I172" s="327"/>
      <c r="J172" s="327"/>
      <c r="K172" s="327"/>
      <c r="L172" s="327"/>
      <c r="M172" s="327"/>
      <c r="N172" s="326"/>
      <c r="O172" s="326"/>
      <c r="P172" s="326"/>
      <c r="Q172" s="326"/>
      <c r="R172" s="339">
        <f t="shared" si="75"/>
        <v>134.35194799999999</v>
      </c>
      <c r="S172" s="328"/>
      <c r="T172" s="327">
        <f>Sheet1!H47</f>
        <v>134.35194799999999</v>
      </c>
      <c r="U172" s="327">
        <f t="shared" si="76"/>
        <v>0</v>
      </c>
      <c r="V172" s="327"/>
      <c r="W172" s="339"/>
      <c r="X172" s="130">
        <f t="shared" si="81"/>
        <v>0</v>
      </c>
      <c r="Y172" s="326"/>
    </row>
    <row r="173" spans="1:25" s="202" customFormat="1" ht="27.75" customHeight="1">
      <c r="A173" s="346" t="s">
        <v>592</v>
      </c>
      <c r="B173" s="346" t="s">
        <v>30</v>
      </c>
      <c r="C173" s="346"/>
      <c r="D173" s="346"/>
      <c r="E173" s="347"/>
      <c r="F173" s="352"/>
      <c r="G173" s="348"/>
      <c r="H173" s="348"/>
      <c r="I173" s="349"/>
      <c r="J173" s="349"/>
      <c r="K173" s="349"/>
      <c r="L173" s="349"/>
      <c r="M173" s="349"/>
      <c r="N173" s="348"/>
      <c r="O173" s="348"/>
      <c r="P173" s="348"/>
      <c r="Q173" s="348"/>
      <c r="R173" s="350">
        <f>T173</f>
        <v>22921.552700000007</v>
      </c>
      <c r="S173" s="351"/>
      <c r="T173" s="349">
        <f>Sheet1!H48</f>
        <v>22921.552700000007</v>
      </c>
      <c r="U173" s="349">
        <f>U174</f>
        <v>5404.6769999999997</v>
      </c>
      <c r="V173" s="349">
        <f t="shared" ref="V173:Y173" si="82">V174</f>
        <v>0</v>
      </c>
      <c r="W173" s="583">
        <f>W174</f>
        <v>5404.6669999999995</v>
      </c>
      <c r="X173" s="349">
        <f t="shared" si="81"/>
        <v>23.579017838525392</v>
      </c>
      <c r="Y173" s="349">
        <f t="shared" si="82"/>
        <v>0</v>
      </c>
    </row>
    <row r="174" spans="1:25" s="202" customFormat="1">
      <c r="A174" s="281">
        <v>1</v>
      </c>
      <c r="B174" s="288" t="s">
        <v>37</v>
      </c>
      <c r="C174" s="280"/>
      <c r="D174" s="280"/>
      <c r="E174" s="275"/>
      <c r="F174" s="276"/>
      <c r="G174" s="276"/>
      <c r="H174" s="276"/>
      <c r="I174" s="331"/>
      <c r="J174" s="331"/>
      <c r="K174" s="331"/>
      <c r="L174" s="331"/>
      <c r="M174" s="331"/>
      <c r="N174" s="332"/>
      <c r="O174" s="332"/>
      <c r="P174" s="332"/>
      <c r="Q174" s="332"/>
      <c r="R174" s="340">
        <f t="shared" si="75"/>
        <v>22921.552700000007</v>
      </c>
      <c r="S174" s="333"/>
      <c r="T174" s="331">
        <f>Sheet1!H49</f>
        <v>22921.552700000007</v>
      </c>
      <c r="U174" s="331">
        <f>SUM(U176:U214)</f>
        <v>5404.6769999999997</v>
      </c>
      <c r="V174" s="331">
        <f t="shared" ref="V174:Y174" si="83">SUM(V176:V214)</f>
        <v>0</v>
      </c>
      <c r="W174" s="580">
        <f>SUM(W176:W214)</f>
        <v>5404.6669999999995</v>
      </c>
      <c r="X174" s="331">
        <f>U174/R174*100</f>
        <v>23.579017838525392</v>
      </c>
      <c r="Y174" s="331">
        <f t="shared" si="83"/>
        <v>0</v>
      </c>
    </row>
    <row r="175" spans="1:25" s="202" customFormat="1" hidden="1">
      <c r="A175" s="281" t="s">
        <v>74</v>
      </c>
      <c r="B175" s="288" t="s">
        <v>488</v>
      </c>
      <c r="C175" s="280"/>
      <c r="D175" s="280"/>
      <c r="E175" s="275"/>
      <c r="F175" s="276"/>
      <c r="G175" s="276"/>
      <c r="H175" s="276"/>
      <c r="I175" s="331"/>
      <c r="J175" s="331"/>
      <c r="K175" s="331"/>
      <c r="L175" s="331"/>
      <c r="M175" s="331"/>
      <c r="N175" s="332"/>
      <c r="O175" s="332"/>
      <c r="P175" s="332"/>
      <c r="Q175" s="332"/>
      <c r="R175" s="340">
        <f t="shared" si="75"/>
        <v>16613.176199999998</v>
      </c>
      <c r="S175" s="333"/>
      <c r="T175" s="331">
        <f>SUM(T176:T191)</f>
        <v>16613.176199999998</v>
      </c>
      <c r="U175" s="331"/>
      <c r="V175" s="331"/>
      <c r="W175" s="340"/>
      <c r="X175" s="130">
        <f t="shared" si="81"/>
        <v>0</v>
      </c>
      <c r="Y175" s="332"/>
    </row>
    <row r="176" spans="1:25">
      <c r="A176" s="304" t="s">
        <v>36</v>
      </c>
      <c r="B176" s="305" t="s">
        <v>593</v>
      </c>
      <c r="C176" s="617" t="s">
        <v>67</v>
      </c>
      <c r="D176" s="306" t="s">
        <v>62</v>
      </c>
      <c r="E176" s="303" t="s">
        <v>594</v>
      </c>
      <c r="F176" s="326"/>
      <c r="G176" s="326"/>
      <c r="H176" s="326"/>
      <c r="I176" s="327"/>
      <c r="J176" s="327"/>
      <c r="K176" s="327"/>
      <c r="L176" s="327"/>
      <c r="M176" s="327"/>
      <c r="N176" s="326"/>
      <c r="O176" s="326"/>
      <c r="P176" s="326"/>
      <c r="Q176" s="326"/>
      <c r="R176" s="339">
        <f t="shared" si="75"/>
        <v>1218.3000000000002</v>
      </c>
      <c r="S176" s="328"/>
      <c r="T176" s="327">
        <f>Sheet1!H51</f>
        <v>1218.3000000000002</v>
      </c>
      <c r="U176" s="327">
        <f>V176+W176</f>
        <v>1088.096</v>
      </c>
      <c r="V176" s="327"/>
      <c r="W176" s="339">
        <v>1088.096</v>
      </c>
      <c r="X176" s="327">
        <f t="shared" si="81"/>
        <v>89.312648772880237</v>
      </c>
      <c r="Y176" s="326"/>
    </row>
    <row r="177" spans="1:25" ht="15.75" customHeight="1">
      <c r="A177" s="304" t="s">
        <v>57</v>
      </c>
      <c r="B177" s="307" t="s">
        <v>595</v>
      </c>
      <c r="C177" s="617"/>
      <c r="D177" s="623" t="s">
        <v>65</v>
      </c>
      <c r="E177" s="303" t="s">
        <v>596</v>
      </c>
      <c r="F177" s="326"/>
      <c r="G177" s="326"/>
      <c r="H177" s="326"/>
      <c r="I177" s="327"/>
      <c r="J177" s="327"/>
      <c r="K177" s="327"/>
      <c r="L177" s="327"/>
      <c r="M177" s="327"/>
      <c r="N177" s="326"/>
      <c r="O177" s="326"/>
      <c r="P177" s="326"/>
      <c r="Q177" s="326"/>
      <c r="R177" s="339">
        <f t="shared" si="75"/>
        <v>1977.0619999999999</v>
      </c>
      <c r="S177" s="328"/>
      <c r="T177" s="327">
        <f>Sheet1!H52</f>
        <v>1977.0619999999999</v>
      </c>
      <c r="U177" s="327">
        <f t="shared" ref="U177:U214" si="84">V177+W177</f>
        <v>9.68</v>
      </c>
      <c r="V177" s="327"/>
      <c r="W177" s="339">
        <v>9.68</v>
      </c>
      <c r="X177" s="327">
        <f t="shared" si="81"/>
        <v>0.48961539901126017</v>
      </c>
      <c r="Y177" s="326"/>
    </row>
    <row r="178" spans="1:25">
      <c r="A178" s="304" t="s">
        <v>58</v>
      </c>
      <c r="B178" s="307" t="s">
        <v>597</v>
      </c>
      <c r="C178" s="617"/>
      <c r="D178" s="625"/>
      <c r="E178" s="303" t="s">
        <v>598</v>
      </c>
      <c r="F178" s="326"/>
      <c r="G178" s="326"/>
      <c r="H178" s="326"/>
      <c r="I178" s="327"/>
      <c r="J178" s="327"/>
      <c r="K178" s="327"/>
      <c r="L178" s="327"/>
      <c r="M178" s="327"/>
      <c r="N178" s="326"/>
      <c r="O178" s="326"/>
      <c r="P178" s="326"/>
      <c r="Q178" s="326"/>
      <c r="R178" s="339">
        <f t="shared" si="75"/>
        <v>1165.2350000000001</v>
      </c>
      <c r="S178" s="328"/>
      <c r="T178" s="327">
        <f>Sheet1!H53</f>
        <v>1165.2350000000001</v>
      </c>
      <c r="U178" s="327">
        <f t="shared" si="84"/>
        <v>1.5469999999999999</v>
      </c>
      <c r="V178" s="327"/>
      <c r="W178" s="339">
        <v>1.5469999999999999</v>
      </c>
      <c r="X178" s="327">
        <f t="shared" si="81"/>
        <v>0.1327629190678275</v>
      </c>
      <c r="Y178" s="326"/>
    </row>
    <row r="179" spans="1:25">
      <c r="A179" s="304" t="s">
        <v>59</v>
      </c>
      <c r="B179" s="307" t="s">
        <v>53</v>
      </c>
      <c r="C179" s="617"/>
      <c r="D179" s="623" t="s">
        <v>66</v>
      </c>
      <c r="E179" s="303" t="s">
        <v>599</v>
      </c>
      <c r="F179" s="326"/>
      <c r="G179" s="326"/>
      <c r="H179" s="326"/>
      <c r="I179" s="327"/>
      <c r="J179" s="327"/>
      <c r="K179" s="327"/>
      <c r="L179" s="327"/>
      <c r="M179" s="327"/>
      <c r="N179" s="326"/>
      <c r="O179" s="326"/>
      <c r="P179" s="326"/>
      <c r="Q179" s="326"/>
      <c r="R179" s="339">
        <f t="shared" si="75"/>
        <v>2160.835</v>
      </c>
      <c r="S179" s="328"/>
      <c r="T179" s="327">
        <f>Sheet1!H54</f>
        <v>2160.835</v>
      </c>
      <c r="U179" s="327">
        <f t="shared" si="84"/>
        <v>8.3320000000000007</v>
      </c>
      <c r="V179" s="327"/>
      <c r="W179" s="339">
        <v>8.3320000000000007</v>
      </c>
      <c r="X179" s="327">
        <f t="shared" si="81"/>
        <v>0.38559168099368996</v>
      </c>
      <c r="Y179" s="326"/>
    </row>
    <row r="180" spans="1:25" ht="30">
      <c r="A180" s="304" t="s">
        <v>60</v>
      </c>
      <c r="B180" s="307" t="s">
        <v>600</v>
      </c>
      <c r="C180" s="617"/>
      <c r="D180" s="625"/>
      <c r="E180" s="303" t="s">
        <v>601</v>
      </c>
      <c r="F180" s="326"/>
      <c r="G180" s="326"/>
      <c r="H180" s="326"/>
      <c r="I180" s="327"/>
      <c r="J180" s="327"/>
      <c r="K180" s="327"/>
      <c r="L180" s="327"/>
      <c r="M180" s="327"/>
      <c r="N180" s="326"/>
      <c r="O180" s="326"/>
      <c r="P180" s="326"/>
      <c r="Q180" s="326"/>
      <c r="R180" s="339">
        <f t="shared" si="75"/>
        <v>55.705999999999904</v>
      </c>
      <c r="S180" s="328"/>
      <c r="T180" s="327">
        <f>Sheet1!H55</f>
        <v>55.705999999999904</v>
      </c>
      <c r="U180" s="327">
        <f t="shared" si="84"/>
        <v>0</v>
      </c>
      <c r="V180" s="327"/>
      <c r="W180" s="339"/>
      <c r="X180" s="327">
        <f t="shared" si="81"/>
        <v>0</v>
      </c>
      <c r="Y180" s="326"/>
    </row>
    <row r="181" spans="1:25" ht="30">
      <c r="A181" s="304" t="s">
        <v>110</v>
      </c>
      <c r="B181" s="307" t="s">
        <v>55</v>
      </c>
      <c r="C181" s="617"/>
      <c r="D181" s="308" t="s">
        <v>42</v>
      </c>
      <c r="E181" s="303" t="s">
        <v>602</v>
      </c>
      <c r="F181" s="326"/>
      <c r="G181" s="326"/>
      <c r="H181" s="326"/>
      <c r="I181" s="327"/>
      <c r="J181" s="327"/>
      <c r="K181" s="327"/>
      <c r="L181" s="327"/>
      <c r="M181" s="327"/>
      <c r="N181" s="326"/>
      <c r="O181" s="326"/>
      <c r="P181" s="326"/>
      <c r="Q181" s="326"/>
      <c r="R181" s="339">
        <f t="shared" si="75"/>
        <v>4149.41</v>
      </c>
      <c r="S181" s="328"/>
      <c r="T181" s="327">
        <f>Sheet1!H56</f>
        <v>4149.41</v>
      </c>
      <c r="U181" s="327">
        <f>V181+W181</f>
        <v>1886.867</v>
      </c>
      <c r="V181" s="327"/>
      <c r="W181" s="339">
        <v>1886.867</v>
      </c>
      <c r="X181" s="327">
        <f t="shared" si="81"/>
        <v>45.473139554780076</v>
      </c>
      <c r="Y181" s="326"/>
    </row>
    <row r="182" spans="1:25">
      <c r="A182" s="304" t="s">
        <v>111</v>
      </c>
      <c r="B182" s="307" t="s">
        <v>56</v>
      </c>
      <c r="C182" s="617"/>
      <c r="D182" s="623" t="s">
        <v>45</v>
      </c>
      <c r="E182" s="303" t="s">
        <v>603</v>
      </c>
      <c r="F182" s="326"/>
      <c r="G182" s="326"/>
      <c r="H182" s="326"/>
      <c r="I182" s="327"/>
      <c r="J182" s="327"/>
      <c r="K182" s="327"/>
      <c r="L182" s="327"/>
      <c r="M182" s="327"/>
      <c r="N182" s="326"/>
      <c r="O182" s="326"/>
      <c r="P182" s="326"/>
      <c r="Q182" s="326"/>
      <c r="R182" s="339">
        <f t="shared" si="75"/>
        <v>436.44299999999998</v>
      </c>
      <c r="S182" s="328"/>
      <c r="T182" s="327">
        <f>Sheet1!H57</f>
        <v>436.44299999999998</v>
      </c>
      <c r="U182" s="327">
        <f t="shared" si="84"/>
        <v>50.423000000000002</v>
      </c>
      <c r="V182" s="327"/>
      <c r="W182" s="339">
        <v>50.423000000000002</v>
      </c>
      <c r="X182" s="327">
        <f t="shared" si="81"/>
        <v>11.553169600612224</v>
      </c>
      <c r="Y182" s="326"/>
    </row>
    <row r="183" spans="1:25" ht="38.25" customHeight="1">
      <c r="A183" s="304" t="s">
        <v>112</v>
      </c>
      <c r="B183" s="307" t="s">
        <v>604</v>
      </c>
      <c r="C183" s="617"/>
      <c r="D183" s="625"/>
      <c r="E183" s="303" t="s">
        <v>605</v>
      </c>
      <c r="F183" s="326"/>
      <c r="G183" s="326"/>
      <c r="H183" s="326"/>
      <c r="I183" s="327"/>
      <c r="J183" s="327"/>
      <c r="K183" s="327"/>
      <c r="L183" s="327"/>
      <c r="M183" s="327"/>
      <c r="N183" s="326"/>
      <c r="O183" s="326"/>
      <c r="P183" s="326"/>
      <c r="Q183" s="326"/>
      <c r="R183" s="339">
        <f t="shared" si="75"/>
        <v>45.824999999999818</v>
      </c>
      <c r="S183" s="328"/>
      <c r="T183" s="327">
        <f>Sheet1!H58</f>
        <v>45.824999999999818</v>
      </c>
      <c r="U183" s="327">
        <f t="shared" si="84"/>
        <v>0</v>
      </c>
      <c r="V183" s="327"/>
      <c r="W183" s="339"/>
      <c r="X183" s="327">
        <f t="shared" si="81"/>
        <v>0</v>
      </c>
      <c r="Y183" s="326"/>
    </row>
    <row r="184" spans="1:25" ht="30">
      <c r="A184" s="304" t="s">
        <v>113</v>
      </c>
      <c r="B184" s="309" t="s">
        <v>606</v>
      </c>
      <c r="C184" s="617"/>
      <c r="D184" s="306" t="s">
        <v>44</v>
      </c>
      <c r="E184" s="303" t="s">
        <v>607</v>
      </c>
      <c r="F184" s="326"/>
      <c r="G184" s="326"/>
      <c r="H184" s="326"/>
      <c r="I184" s="327"/>
      <c r="J184" s="327"/>
      <c r="K184" s="327"/>
      <c r="L184" s="327"/>
      <c r="M184" s="327"/>
      <c r="N184" s="326"/>
      <c r="O184" s="326"/>
      <c r="P184" s="326"/>
      <c r="Q184" s="326"/>
      <c r="R184" s="339">
        <f t="shared" si="75"/>
        <v>381.18200000000002</v>
      </c>
      <c r="S184" s="328"/>
      <c r="T184" s="327">
        <f>Sheet1!H59</f>
        <v>381.18200000000002</v>
      </c>
      <c r="U184" s="327">
        <f t="shared" si="84"/>
        <v>359.36900000000003</v>
      </c>
      <c r="V184" s="327"/>
      <c r="W184" s="339">
        <v>359.36900000000003</v>
      </c>
      <c r="X184" s="327">
        <f t="shared" si="81"/>
        <v>94.277536714745196</v>
      </c>
      <c r="Y184" s="326"/>
    </row>
    <row r="185" spans="1:25">
      <c r="A185" s="304" t="s">
        <v>114</v>
      </c>
      <c r="B185" s="307" t="s">
        <v>608</v>
      </c>
      <c r="C185" s="617"/>
      <c r="D185" s="623" t="s">
        <v>609</v>
      </c>
      <c r="E185" s="303" t="s">
        <v>610</v>
      </c>
      <c r="F185" s="326"/>
      <c r="G185" s="326"/>
      <c r="H185" s="326"/>
      <c r="I185" s="327"/>
      <c r="J185" s="327"/>
      <c r="K185" s="327"/>
      <c r="L185" s="327"/>
      <c r="M185" s="327"/>
      <c r="N185" s="326"/>
      <c r="O185" s="326"/>
      <c r="P185" s="326"/>
      <c r="Q185" s="326"/>
      <c r="R185" s="339">
        <f t="shared" si="75"/>
        <v>744.30200000000013</v>
      </c>
      <c r="S185" s="328"/>
      <c r="T185" s="327">
        <f>Sheet1!H60</f>
        <v>744.30200000000013</v>
      </c>
      <c r="U185" s="327">
        <f t="shared" si="84"/>
        <v>0</v>
      </c>
      <c r="V185" s="327"/>
      <c r="W185" s="339"/>
      <c r="X185" s="130">
        <f t="shared" si="81"/>
        <v>0</v>
      </c>
      <c r="Y185" s="326"/>
    </row>
    <row r="186" spans="1:25">
      <c r="A186" s="304" t="s">
        <v>115</v>
      </c>
      <c r="B186" s="307" t="s">
        <v>611</v>
      </c>
      <c r="C186" s="617"/>
      <c r="D186" s="625"/>
      <c r="E186" s="303" t="s">
        <v>612</v>
      </c>
      <c r="F186" s="326"/>
      <c r="G186" s="326"/>
      <c r="H186" s="326"/>
      <c r="I186" s="327"/>
      <c r="J186" s="327"/>
      <c r="K186" s="327"/>
      <c r="L186" s="327"/>
      <c r="M186" s="327"/>
      <c r="N186" s="326"/>
      <c r="O186" s="326"/>
      <c r="P186" s="326"/>
      <c r="Q186" s="326"/>
      <c r="R186" s="339">
        <f t="shared" si="75"/>
        <v>551.45299999999997</v>
      </c>
      <c r="S186" s="328"/>
      <c r="T186" s="327">
        <f>Sheet1!H61</f>
        <v>551.45299999999997</v>
      </c>
      <c r="U186" s="327">
        <v>45.845999999999997</v>
      </c>
      <c r="V186" s="327"/>
      <c r="W186" s="339">
        <v>45.84</v>
      </c>
      <c r="X186" s="130">
        <f t="shared" si="81"/>
        <v>8.31367315074902</v>
      </c>
      <c r="Y186" s="326"/>
    </row>
    <row r="187" spans="1:25">
      <c r="A187" s="304" t="s">
        <v>116</v>
      </c>
      <c r="B187" s="307" t="s">
        <v>613</v>
      </c>
      <c r="C187" s="617"/>
      <c r="D187" s="623" t="s">
        <v>63</v>
      </c>
      <c r="E187" s="303" t="s">
        <v>614</v>
      </c>
      <c r="F187" s="326"/>
      <c r="G187" s="326"/>
      <c r="H187" s="326"/>
      <c r="I187" s="327"/>
      <c r="J187" s="327"/>
      <c r="K187" s="327"/>
      <c r="L187" s="327"/>
      <c r="M187" s="327"/>
      <c r="N187" s="326"/>
      <c r="O187" s="326"/>
      <c r="P187" s="326"/>
      <c r="Q187" s="326"/>
      <c r="R187" s="339">
        <f t="shared" si="75"/>
        <v>32.412199999999757</v>
      </c>
      <c r="S187" s="328"/>
      <c r="T187" s="327">
        <f>Sheet1!H62</f>
        <v>32.412199999999757</v>
      </c>
      <c r="U187" s="327">
        <v>32.003999999999998</v>
      </c>
      <c r="V187" s="327"/>
      <c r="W187" s="339">
        <v>32</v>
      </c>
      <c r="X187" s="130">
        <f t="shared" si="81"/>
        <v>98.740597676184393</v>
      </c>
      <c r="Y187" s="326"/>
    </row>
    <row r="188" spans="1:25">
      <c r="A188" s="304" t="s">
        <v>117</v>
      </c>
      <c r="B188" s="310" t="s">
        <v>118</v>
      </c>
      <c r="C188" s="617"/>
      <c r="D188" s="625"/>
      <c r="E188" s="303" t="s">
        <v>615</v>
      </c>
      <c r="F188" s="326"/>
      <c r="G188" s="326"/>
      <c r="H188" s="326"/>
      <c r="I188" s="327"/>
      <c r="J188" s="327"/>
      <c r="K188" s="327"/>
      <c r="L188" s="327"/>
      <c r="M188" s="327"/>
      <c r="N188" s="326"/>
      <c r="O188" s="326"/>
      <c r="P188" s="326"/>
      <c r="Q188" s="326"/>
      <c r="R188" s="339">
        <f t="shared" si="75"/>
        <v>1182.579</v>
      </c>
      <c r="S188" s="328"/>
      <c r="T188" s="327">
        <f>Sheet1!H63</f>
        <v>1182.579</v>
      </c>
      <c r="U188" s="327">
        <f t="shared" si="84"/>
        <v>0</v>
      </c>
      <c r="V188" s="327"/>
      <c r="W188" s="339"/>
      <c r="X188" s="130">
        <f t="shared" si="81"/>
        <v>0</v>
      </c>
      <c r="Y188" s="326"/>
    </row>
    <row r="189" spans="1:25" ht="18.75" customHeight="1">
      <c r="A189" s="304" t="s">
        <v>119</v>
      </c>
      <c r="B189" s="305" t="s">
        <v>54</v>
      </c>
      <c r="C189" s="617"/>
      <c r="D189" s="628" t="s">
        <v>63</v>
      </c>
      <c r="E189" s="303" t="s">
        <v>616</v>
      </c>
      <c r="F189" s="326"/>
      <c r="G189" s="326"/>
      <c r="H189" s="326"/>
      <c r="I189" s="327"/>
      <c r="J189" s="327"/>
      <c r="K189" s="327"/>
      <c r="L189" s="327"/>
      <c r="M189" s="327"/>
      <c r="N189" s="326"/>
      <c r="O189" s="326"/>
      <c r="P189" s="326"/>
      <c r="Q189" s="326"/>
      <c r="R189" s="339">
        <f t="shared" si="75"/>
        <v>989.79</v>
      </c>
      <c r="S189" s="328"/>
      <c r="T189" s="327">
        <f>Sheet1!H64</f>
        <v>989.79</v>
      </c>
      <c r="U189" s="327">
        <f t="shared" si="84"/>
        <v>2.4990000000000001</v>
      </c>
      <c r="V189" s="327"/>
      <c r="W189" s="339">
        <v>2.4990000000000001</v>
      </c>
      <c r="X189" s="130">
        <f t="shared" si="81"/>
        <v>0.25247779832085593</v>
      </c>
      <c r="Y189" s="326"/>
    </row>
    <row r="190" spans="1:25" ht="18.75" customHeight="1">
      <c r="A190" s="304" t="s">
        <v>120</v>
      </c>
      <c r="B190" s="307" t="s">
        <v>617</v>
      </c>
      <c r="C190" s="617"/>
      <c r="D190" s="631"/>
      <c r="E190" s="303" t="s">
        <v>618</v>
      </c>
      <c r="F190" s="326"/>
      <c r="G190" s="326"/>
      <c r="H190" s="326"/>
      <c r="I190" s="327"/>
      <c r="J190" s="327"/>
      <c r="K190" s="327"/>
      <c r="L190" s="327"/>
      <c r="M190" s="327"/>
      <c r="N190" s="326"/>
      <c r="O190" s="326"/>
      <c r="P190" s="326"/>
      <c r="Q190" s="326"/>
      <c r="R190" s="339">
        <f t="shared" si="75"/>
        <v>402.572</v>
      </c>
      <c r="S190" s="328"/>
      <c r="T190" s="327">
        <f>Sheet1!H65</f>
        <v>402.572</v>
      </c>
      <c r="U190" s="327">
        <f t="shared" si="84"/>
        <v>0</v>
      </c>
      <c r="V190" s="327"/>
      <c r="W190" s="339"/>
      <c r="X190" s="130">
        <f t="shared" si="81"/>
        <v>0</v>
      </c>
      <c r="Y190" s="326"/>
    </row>
    <row r="191" spans="1:25" ht="18.75" customHeight="1">
      <c r="A191" s="304" t="s">
        <v>121</v>
      </c>
      <c r="B191" s="307" t="s">
        <v>619</v>
      </c>
      <c r="C191" s="617"/>
      <c r="D191" s="629"/>
      <c r="E191" s="311" t="s">
        <v>620</v>
      </c>
      <c r="F191" s="326"/>
      <c r="G191" s="326"/>
      <c r="H191" s="326"/>
      <c r="I191" s="327"/>
      <c r="J191" s="327"/>
      <c r="K191" s="327"/>
      <c r="L191" s="327"/>
      <c r="M191" s="327"/>
      <c r="N191" s="326"/>
      <c r="O191" s="326"/>
      <c r="P191" s="326"/>
      <c r="Q191" s="326"/>
      <c r="R191" s="339">
        <f t="shared" si="75"/>
        <v>1120.0699999999997</v>
      </c>
      <c r="S191" s="328"/>
      <c r="T191" s="327">
        <f>Sheet1!H66</f>
        <v>1120.0699999999997</v>
      </c>
      <c r="U191" s="327">
        <f t="shared" si="84"/>
        <v>20.013999999999999</v>
      </c>
      <c r="V191" s="327"/>
      <c r="W191" s="339">
        <v>20.013999999999999</v>
      </c>
      <c r="X191" s="130">
        <f t="shared" si="81"/>
        <v>1.786852607426322</v>
      </c>
      <c r="Y191" s="326"/>
    </row>
    <row r="192" spans="1:25" ht="30">
      <c r="A192" s="304" t="s">
        <v>126</v>
      </c>
      <c r="B192" s="312" t="s">
        <v>622</v>
      </c>
      <c r="C192" s="290" t="s">
        <v>750</v>
      </c>
      <c r="D192" s="621" t="s">
        <v>124</v>
      </c>
      <c r="E192" s="282" t="s">
        <v>623</v>
      </c>
      <c r="F192" s="326"/>
      <c r="G192" s="326"/>
      <c r="H192" s="326"/>
      <c r="I192" s="327"/>
      <c r="J192" s="327"/>
      <c r="K192" s="327"/>
      <c r="L192" s="327"/>
      <c r="M192" s="327"/>
      <c r="N192" s="326"/>
      <c r="O192" s="326"/>
      <c r="P192" s="326"/>
      <c r="Q192" s="326"/>
      <c r="R192" s="339">
        <f t="shared" ref="R192:R236" si="85">T192</f>
        <v>4.0120000000000005</v>
      </c>
      <c r="S192" s="328"/>
      <c r="T192" s="327">
        <f>Sheet1!H67</f>
        <v>4.0120000000000005</v>
      </c>
      <c r="U192" s="327">
        <f t="shared" si="84"/>
        <v>0</v>
      </c>
      <c r="V192" s="327"/>
      <c r="W192" s="339"/>
      <c r="X192" s="130">
        <f t="shared" si="81"/>
        <v>0</v>
      </c>
      <c r="Y192" s="326"/>
    </row>
    <row r="193" spans="1:25">
      <c r="A193" s="304" t="s">
        <v>624</v>
      </c>
      <c r="B193" s="312" t="s">
        <v>625</v>
      </c>
      <c r="C193" s="617" t="s">
        <v>626</v>
      </c>
      <c r="D193" s="630"/>
      <c r="E193" s="282" t="s">
        <v>627</v>
      </c>
      <c r="F193" s="326"/>
      <c r="G193" s="326"/>
      <c r="H193" s="326"/>
      <c r="I193" s="327"/>
      <c r="J193" s="327"/>
      <c r="K193" s="327"/>
      <c r="L193" s="327"/>
      <c r="M193" s="327"/>
      <c r="N193" s="326"/>
      <c r="O193" s="326"/>
      <c r="P193" s="326"/>
      <c r="Q193" s="326"/>
      <c r="R193" s="339">
        <f t="shared" si="85"/>
        <v>38.817999999999984</v>
      </c>
      <c r="S193" s="328"/>
      <c r="T193" s="327">
        <f>Sheet1!H68</f>
        <v>38.817999999999984</v>
      </c>
      <c r="U193" s="327">
        <f t="shared" si="84"/>
        <v>0</v>
      </c>
      <c r="V193" s="327"/>
      <c r="W193" s="339"/>
      <c r="X193" s="130">
        <f t="shared" si="81"/>
        <v>0</v>
      </c>
      <c r="Y193" s="326"/>
    </row>
    <row r="194" spans="1:25">
      <c r="A194" s="304" t="s">
        <v>628</v>
      </c>
      <c r="B194" s="312" t="s">
        <v>629</v>
      </c>
      <c r="C194" s="617"/>
      <c r="D194" s="622"/>
      <c r="E194" s="282" t="s">
        <v>630</v>
      </c>
      <c r="F194" s="326"/>
      <c r="G194" s="326"/>
      <c r="H194" s="326"/>
      <c r="I194" s="327"/>
      <c r="J194" s="327"/>
      <c r="K194" s="327"/>
      <c r="L194" s="327"/>
      <c r="M194" s="327"/>
      <c r="N194" s="326"/>
      <c r="O194" s="326"/>
      <c r="P194" s="326"/>
      <c r="Q194" s="326"/>
      <c r="R194" s="339">
        <f t="shared" si="85"/>
        <v>20.293999999999983</v>
      </c>
      <c r="S194" s="328"/>
      <c r="T194" s="327">
        <f>Sheet1!H69</f>
        <v>20.293999999999983</v>
      </c>
      <c r="U194" s="327">
        <f t="shared" si="84"/>
        <v>0</v>
      </c>
      <c r="V194" s="327"/>
      <c r="W194" s="339"/>
      <c r="X194" s="130">
        <f t="shared" si="81"/>
        <v>0</v>
      </c>
      <c r="Y194" s="326"/>
    </row>
    <row r="195" spans="1:25">
      <c r="A195" s="304" t="s">
        <v>631</v>
      </c>
      <c r="B195" s="312" t="s">
        <v>632</v>
      </c>
      <c r="C195" s="617" t="s">
        <v>751</v>
      </c>
      <c r="D195" s="628" t="s">
        <v>128</v>
      </c>
      <c r="E195" s="303" t="s">
        <v>634</v>
      </c>
      <c r="F195" s="326"/>
      <c r="G195" s="326"/>
      <c r="H195" s="326"/>
      <c r="I195" s="327"/>
      <c r="J195" s="327"/>
      <c r="K195" s="327"/>
      <c r="L195" s="327"/>
      <c r="M195" s="327"/>
      <c r="N195" s="326"/>
      <c r="O195" s="326"/>
      <c r="P195" s="326"/>
      <c r="Q195" s="326"/>
      <c r="R195" s="339">
        <f t="shared" si="85"/>
        <v>2.9900000000000091</v>
      </c>
      <c r="S195" s="328"/>
      <c r="T195" s="327">
        <f>Sheet1!H70</f>
        <v>2.9900000000000091</v>
      </c>
      <c r="U195" s="327">
        <f t="shared" si="84"/>
        <v>0</v>
      </c>
      <c r="V195" s="327"/>
      <c r="W195" s="339"/>
      <c r="X195" s="130">
        <f t="shared" si="81"/>
        <v>0</v>
      </c>
      <c r="Y195" s="326"/>
    </row>
    <row r="196" spans="1:25">
      <c r="A196" s="304" t="s">
        <v>635</v>
      </c>
      <c r="B196" s="312" t="s">
        <v>636</v>
      </c>
      <c r="C196" s="617"/>
      <c r="D196" s="631"/>
      <c r="E196" s="303" t="s">
        <v>637</v>
      </c>
      <c r="F196" s="326"/>
      <c r="G196" s="326"/>
      <c r="H196" s="326"/>
      <c r="I196" s="327"/>
      <c r="J196" s="327"/>
      <c r="K196" s="327"/>
      <c r="L196" s="327"/>
      <c r="M196" s="327"/>
      <c r="N196" s="326"/>
      <c r="O196" s="326"/>
      <c r="P196" s="326"/>
      <c r="Q196" s="326"/>
      <c r="R196" s="339">
        <f t="shared" si="85"/>
        <v>0.68200000000001637</v>
      </c>
      <c r="S196" s="328"/>
      <c r="T196" s="327">
        <f>Sheet1!H71</f>
        <v>0.68200000000001637</v>
      </c>
      <c r="U196" s="327">
        <f t="shared" si="84"/>
        <v>0</v>
      </c>
      <c r="V196" s="327"/>
      <c r="W196" s="339"/>
      <c r="X196" s="130">
        <f t="shared" si="81"/>
        <v>0</v>
      </c>
      <c r="Y196" s="326"/>
    </row>
    <row r="197" spans="1:25" ht="27" customHeight="1">
      <c r="A197" s="304" t="s">
        <v>638</v>
      </c>
      <c r="B197" s="312" t="s">
        <v>639</v>
      </c>
      <c r="C197" s="617"/>
      <c r="D197" s="629"/>
      <c r="E197" s="303" t="s">
        <v>640</v>
      </c>
      <c r="F197" s="326"/>
      <c r="G197" s="326"/>
      <c r="H197" s="326"/>
      <c r="I197" s="327"/>
      <c r="J197" s="327"/>
      <c r="K197" s="327"/>
      <c r="L197" s="327"/>
      <c r="M197" s="327"/>
      <c r="N197" s="326"/>
      <c r="O197" s="326"/>
      <c r="P197" s="326"/>
      <c r="Q197" s="326"/>
      <c r="R197" s="339">
        <f t="shared" si="85"/>
        <v>0.81200000000001182</v>
      </c>
      <c r="S197" s="328"/>
      <c r="T197" s="327">
        <f>Sheet1!H72</f>
        <v>0.81200000000001182</v>
      </c>
      <c r="U197" s="327">
        <f t="shared" si="84"/>
        <v>0</v>
      </c>
      <c r="V197" s="327"/>
      <c r="W197" s="339"/>
      <c r="X197" s="130">
        <f t="shared" si="81"/>
        <v>0</v>
      </c>
      <c r="Y197" s="326"/>
    </row>
    <row r="198" spans="1:25" ht="30">
      <c r="A198" s="304" t="s">
        <v>641</v>
      </c>
      <c r="B198" s="305" t="s">
        <v>61</v>
      </c>
      <c r="C198" s="290" t="s">
        <v>752</v>
      </c>
      <c r="D198" s="290" t="s">
        <v>130</v>
      </c>
      <c r="E198" s="303" t="s">
        <v>643</v>
      </c>
      <c r="F198" s="326"/>
      <c r="G198" s="326"/>
      <c r="H198" s="326"/>
      <c r="I198" s="327"/>
      <c r="J198" s="327"/>
      <c r="K198" s="327"/>
      <c r="L198" s="327"/>
      <c r="M198" s="327"/>
      <c r="N198" s="326"/>
      <c r="O198" s="326"/>
      <c r="P198" s="326"/>
      <c r="Q198" s="326"/>
      <c r="R198" s="339">
        <f t="shared" si="85"/>
        <v>38.5474999999999</v>
      </c>
      <c r="S198" s="328"/>
      <c r="T198" s="327">
        <f>Sheet1!H73</f>
        <v>38.5474999999999</v>
      </c>
      <c r="U198" s="327">
        <f t="shared" si="84"/>
        <v>0</v>
      </c>
      <c r="V198" s="327"/>
      <c r="W198" s="339"/>
      <c r="X198" s="130">
        <f t="shared" si="81"/>
        <v>0</v>
      </c>
      <c r="Y198" s="326"/>
    </row>
    <row r="199" spans="1:25" ht="30">
      <c r="A199" s="304" t="s">
        <v>644</v>
      </c>
      <c r="B199" s="313" t="s">
        <v>645</v>
      </c>
      <c r="C199" s="290" t="s">
        <v>753</v>
      </c>
      <c r="D199" s="623" t="s">
        <v>132</v>
      </c>
      <c r="E199" s="311" t="s">
        <v>646</v>
      </c>
      <c r="F199" s="326"/>
      <c r="G199" s="326"/>
      <c r="H199" s="326"/>
      <c r="I199" s="327"/>
      <c r="J199" s="327"/>
      <c r="K199" s="327"/>
      <c r="L199" s="327"/>
      <c r="M199" s="327"/>
      <c r="N199" s="326"/>
      <c r="O199" s="326"/>
      <c r="P199" s="326"/>
      <c r="Q199" s="326"/>
      <c r="R199" s="339">
        <f t="shared" si="85"/>
        <v>130</v>
      </c>
      <c r="S199" s="328"/>
      <c r="T199" s="327">
        <f>Sheet1!H74</f>
        <v>130</v>
      </c>
      <c r="U199" s="327">
        <f t="shared" si="84"/>
        <v>0</v>
      </c>
      <c r="V199" s="327"/>
      <c r="W199" s="339"/>
      <c r="X199" s="130">
        <f t="shared" si="81"/>
        <v>0</v>
      </c>
      <c r="Y199" s="326"/>
    </row>
    <row r="200" spans="1:25" ht="30">
      <c r="A200" s="304" t="s">
        <v>647</v>
      </c>
      <c r="B200" s="313" t="s">
        <v>648</v>
      </c>
      <c r="C200" s="290" t="s">
        <v>753</v>
      </c>
      <c r="D200" s="624"/>
      <c r="E200" s="311" t="s">
        <v>649</v>
      </c>
      <c r="F200" s="326"/>
      <c r="G200" s="326"/>
      <c r="H200" s="326"/>
      <c r="I200" s="327"/>
      <c r="J200" s="327"/>
      <c r="K200" s="327"/>
      <c r="L200" s="327"/>
      <c r="M200" s="327"/>
      <c r="N200" s="326"/>
      <c r="O200" s="326"/>
      <c r="P200" s="326"/>
      <c r="Q200" s="326"/>
      <c r="R200" s="339">
        <f t="shared" si="85"/>
        <v>500</v>
      </c>
      <c r="S200" s="328"/>
      <c r="T200" s="327">
        <f>Sheet1!H75</f>
        <v>500</v>
      </c>
      <c r="U200" s="327">
        <f t="shared" si="84"/>
        <v>500</v>
      </c>
      <c r="V200" s="327"/>
      <c r="W200" s="339">
        <v>500</v>
      </c>
      <c r="X200" s="130">
        <f t="shared" si="81"/>
        <v>100</v>
      </c>
      <c r="Y200" s="326"/>
    </row>
    <row r="201" spans="1:25" ht="30">
      <c r="A201" s="304" t="s">
        <v>650</v>
      </c>
      <c r="B201" s="313" t="s">
        <v>651</v>
      </c>
      <c r="C201" s="290" t="s">
        <v>753</v>
      </c>
      <c r="D201" s="625"/>
      <c r="E201" s="311" t="s">
        <v>652</v>
      </c>
      <c r="F201" s="326"/>
      <c r="G201" s="326"/>
      <c r="H201" s="326"/>
      <c r="I201" s="327"/>
      <c r="J201" s="327"/>
      <c r="K201" s="327"/>
      <c r="L201" s="327"/>
      <c r="M201" s="327"/>
      <c r="N201" s="326"/>
      <c r="O201" s="326"/>
      <c r="P201" s="326"/>
      <c r="Q201" s="326"/>
      <c r="R201" s="339">
        <f t="shared" si="85"/>
        <v>800</v>
      </c>
      <c r="S201" s="328"/>
      <c r="T201" s="327">
        <f>Sheet1!H76</f>
        <v>800</v>
      </c>
      <c r="U201" s="327">
        <f t="shared" si="84"/>
        <v>800</v>
      </c>
      <c r="V201" s="327"/>
      <c r="W201" s="339">
        <v>800</v>
      </c>
      <c r="X201" s="130">
        <f t="shared" si="81"/>
        <v>100</v>
      </c>
      <c r="Y201" s="326"/>
    </row>
    <row r="202" spans="1:25" ht="30">
      <c r="A202" s="304" t="s">
        <v>653</v>
      </c>
      <c r="B202" s="312" t="s">
        <v>654</v>
      </c>
      <c r="C202" s="617" t="s">
        <v>754</v>
      </c>
      <c r="D202" s="626" t="s">
        <v>134</v>
      </c>
      <c r="E202" s="311" t="s">
        <v>656</v>
      </c>
      <c r="F202" s="326"/>
      <c r="G202" s="326"/>
      <c r="H202" s="326"/>
      <c r="I202" s="327"/>
      <c r="J202" s="327"/>
      <c r="K202" s="327"/>
      <c r="L202" s="327"/>
      <c r="M202" s="327"/>
      <c r="N202" s="326"/>
      <c r="O202" s="326"/>
      <c r="P202" s="326"/>
      <c r="Q202" s="326"/>
      <c r="R202" s="339">
        <f t="shared" si="85"/>
        <v>600</v>
      </c>
      <c r="S202" s="328"/>
      <c r="T202" s="327">
        <f>Sheet1!H77</f>
        <v>600</v>
      </c>
      <c r="U202" s="327">
        <f t="shared" si="84"/>
        <v>600</v>
      </c>
      <c r="V202" s="327"/>
      <c r="W202" s="339">
        <v>600</v>
      </c>
      <c r="X202" s="130">
        <f t="shared" si="81"/>
        <v>100</v>
      </c>
      <c r="Y202" s="326"/>
    </row>
    <row r="203" spans="1:25" ht="30">
      <c r="A203" s="304" t="s">
        <v>657</v>
      </c>
      <c r="B203" s="312" t="s">
        <v>658</v>
      </c>
      <c r="C203" s="617"/>
      <c r="D203" s="627"/>
      <c r="E203" s="311" t="s">
        <v>659</v>
      </c>
      <c r="F203" s="326"/>
      <c r="G203" s="326"/>
      <c r="H203" s="326"/>
      <c r="I203" s="327"/>
      <c r="J203" s="327"/>
      <c r="K203" s="327"/>
      <c r="L203" s="327"/>
      <c r="M203" s="327"/>
      <c r="N203" s="326"/>
      <c r="O203" s="326"/>
      <c r="P203" s="326"/>
      <c r="Q203" s="326"/>
      <c r="R203" s="339">
        <f t="shared" si="85"/>
        <v>500</v>
      </c>
      <c r="S203" s="328"/>
      <c r="T203" s="327">
        <f>Sheet1!H78</f>
        <v>500</v>
      </c>
      <c r="U203" s="327">
        <f t="shared" si="84"/>
        <v>0</v>
      </c>
      <c r="V203" s="327"/>
      <c r="W203" s="339"/>
      <c r="X203" s="130">
        <f t="shared" si="81"/>
        <v>0</v>
      </c>
      <c r="Y203" s="326"/>
    </row>
    <row r="204" spans="1:25">
      <c r="A204" s="304" t="s">
        <v>660</v>
      </c>
      <c r="B204" s="312" t="s">
        <v>661</v>
      </c>
      <c r="C204" s="617" t="s">
        <v>757</v>
      </c>
      <c r="D204" s="623" t="s">
        <v>135</v>
      </c>
      <c r="E204" s="311" t="s">
        <v>663</v>
      </c>
      <c r="F204" s="326"/>
      <c r="G204" s="326"/>
      <c r="H204" s="326"/>
      <c r="I204" s="327"/>
      <c r="J204" s="327"/>
      <c r="K204" s="327"/>
      <c r="L204" s="327"/>
      <c r="M204" s="327"/>
      <c r="N204" s="326"/>
      <c r="O204" s="326"/>
      <c r="P204" s="326"/>
      <c r="Q204" s="326"/>
      <c r="R204" s="339">
        <f t="shared" si="85"/>
        <v>600</v>
      </c>
      <c r="S204" s="328"/>
      <c r="T204" s="327">
        <f>Sheet1!H79</f>
        <v>600</v>
      </c>
      <c r="U204" s="327">
        <f t="shared" si="84"/>
        <v>0</v>
      </c>
      <c r="V204" s="327"/>
      <c r="W204" s="339"/>
      <c r="X204" s="130">
        <f t="shared" si="81"/>
        <v>0</v>
      </c>
      <c r="Y204" s="326"/>
    </row>
    <row r="205" spans="1:25">
      <c r="A205" s="304" t="s">
        <v>664</v>
      </c>
      <c r="B205" s="312" t="s">
        <v>665</v>
      </c>
      <c r="C205" s="617"/>
      <c r="D205" s="625"/>
      <c r="E205" s="311" t="s">
        <v>666</v>
      </c>
      <c r="F205" s="326"/>
      <c r="G205" s="326"/>
      <c r="H205" s="326"/>
      <c r="I205" s="327"/>
      <c r="J205" s="327"/>
      <c r="K205" s="327"/>
      <c r="L205" s="327"/>
      <c r="M205" s="327"/>
      <c r="N205" s="326"/>
      <c r="O205" s="326"/>
      <c r="P205" s="326"/>
      <c r="Q205" s="326"/>
      <c r="R205" s="339">
        <f t="shared" si="85"/>
        <v>600</v>
      </c>
      <c r="S205" s="328"/>
      <c r="T205" s="327">
        <f>Sheet1!H80</f>
        <v>600</v>
      </c>
      <c r="U205" s="327">
        <f t="shared" si="84"/>
        <v>0</v>
      </c>
      <c r="V205" s="327"/>
      <c r="W205" s="339"/>
      <c r="X205" s="130">
        <f t="shared" si="81"/>
        <v>0</v>
      </c>
      <c r="Y205" s="326"/>
    </row>
    <row r="206" spans="1:25" ht="30">
      <c r="A206" s="304" t="s">
        <v>667</v>
      </c>
      <c r="B206" s="312" t="s">
        <v>668</v>
      </c>
      <c r="C206" s="290" t="s">
        <v>756</v>
      </c>
      <c r="D206" s="628" t="s">
        <v>137</v>
      </c>
      <c r="E206" s="311" t="s">
        <v>670</v>
      </c>
      <c r="F206" s="326"/>
      <c r="G206" s="326"/>
      <c r="H206" s="326"/>
      <c r="I206" s="327"/>
      <c r="J206" s="327"/>
      <c r="K206" s="327"/>
      <c r="L206" s="327"/>
      <c r="M206" s="327"/>
      <c r="N206" s="326"/>
      <c r="O206" s="326"/>
      <c r="P206" s="326"/>
      <c r="Q206" s="326"/>
      <c r="R206" s="339">
        <f t="shared" si="85"/>
        <v>800</v>
      </c>
      <c r="S206" s="328"/>
      <c r="T206" s="327">
        <f>Sheet1!H81</f>
        <v>800</v>
      </c>
      <c r="U206" s="327">
        <f t="shared" si="84"/>
        <v>0</v>
      </c>
      <c r="V206" s="327"/>
      <c r="W206" s="339"/>
      <c r="X206" s="130">
        <f t="shared" si="81"/>
        <v>0</v>
      </c>
      <c r="Y206" s="326"/>
    </row>
    <row r="207" spans="1:25" ht="30">
      <c r="A207" s="304" t="s">
        <v>671</v>
      </c>
      <c r="B207" s="312" t="s">
        <v>672</v>
      </c>
      <c r="C207" s="290" t="s">
        <v>151</v>
      </c>
      <c r="D207" s="629"/>
      <c r="E207" s="303" t="s">
        <v>673</v>
      </c>
      <c r="F207" s="326"/>
      <c r="G207" s="326"/>
      <c r="H207" s="326"/>
      <c r="I207" s="327"/>
      <c r="J207" s="327"/>
      <c r="K207" s="327"/>
      <c r="L207" s="327"/>
      <c r="M207" s="327"/>
      <c r="N207" s="326"/>
      <c r="O207" s="326"/>
      <c r="P207" s="326"/>
      <c r="Q207" s="326"/>
      <c r="R207" s="339">
        <f t="shared" si="85"/>
        <v>58.615000000000009</v>
      </c>
      <c r="S207" s="328"/>
      <c r="T207" s="327">
        <f>Sheet1!H82</f>
        <v>58.615000000000009</v>
      </c>
      <c r="U207" s="327">
        <f t="shared" si="84"/>
        <v>0</v>
      </c>
      <c r="V207" s="327"/>
      <c r="W207" s="339"/>
      <c r="X207" s="130">
        <f t="shared" si="81"/>
        <v>0</v>
      </c>
      <c r="Y207" s="326"/>
    </row>
    <row r="208" spans="1:25" ht="30" customHeight="1">
      <c r="A208" s="304" t="s">
        <v>674</v>
      </c>
      <c r="B208" s="312" t="s">
        <v>683</v>
      </c>
      <c r="C208" s="621" t="s">
        <v>755</v>
      </c>
      <c r="D208" s="628" t="s">
        <v>138</v>
      </c>
      <c r="E208" s="303" t="s">
        <v>684</v>
      </c>
      <c r="F208" s="326"/>
      <c r="G208" s="326"/>
      <c r="H208" s="326"/>
      <c r="I208" s="327"/>
      <c r="J208" s="327"/>
      <c r="K208" s="327"/>
      <c r="L208" s="327"/>
      <c r="M208" s="327"/>
      <c r="N208" s="326"/>
      <c r="O208" s="326"/>
      <c r="P208" s="326"/>
      <c r="Q208" s="326"/>
      <c r="R208" s="339">
        <f t="shared" si="85"/>
        <v>140</v>
      </c>
      <c r="S208" s="328"/>
      <c r="T208" s="327">
        <f>Sheet1!H83</f>
        <v>140</v>
      </c>
      <c r="U208" s="327">
        <f t="shared" si="84"/>
        <v>0</v>
      </c>
      <c r="V208" s="327"/>
      <c r="W208" s="339"/>
      <c r="X208" s="130">
        <f t="shared" si="81"/>
        <v>0</v>
      </c>
      <c r="Y208" s="326"/>
    </row>
    <row r="209" spans="1:25">
      <c r="A209" s="304" t="s">
        <v>676</v>
      </c>
      <c r="B209" s="312" t="s">
        <v>686</v>
      </c>
      <c r="C209" s="622"/>
      <c r="D209" s="629"/>
      <c r="E209" s="303" t="s">
        <v>687</v>
      </c>
      <c r="F209" s="326"/>
      <c r="G209" s="326"/>
      <c r="H209" s="326"/>
      <c r="I209" s="327"/>
      <c r="J209" s="327"/>
      <c r="K209" s="327"/>
      <c r="L209" s="327"/>
      <c r="M209" s="327"/>
      <c r="N209" s="326"/>
      <c r="O209" s="326"/>
      <c r="P209" s="326"/>
      <c r="Q209" s="326"/>
      <c r="R209" s="339">
        <f t="shared" si="85"/>
        <v>535</v>
      </c>
      <c r="S209" s="328"/>
      <c r="T209" s="327">
        <f>Sheet1!H84</f>
        <v>535</v>
      </c>
      <c r="U209" s="327">
        <f t="shared" si="84"/>
        <v>0</v>
      </c>
      <c r="V209" s="327"/>
      <c r="W209" s="339"/>
      <c r="X209" s="130">
        <f t="shared" si="81"/>
        <v>0</v>
      </c>
      <c r="Y209" s="326"/>
    </row>
    <row r="210" spans="1:25" ht="30">
      <c r="A210" s="304" t="s">
        <v>677</v>
      </c>
      <c r="B210" s="312" t="s">
        <v>689</v>
      </c>
      <c r="C210" s="617" t="s">
        <v>758</v>
      </c>
      <c r="D210" s="628" t="s">
        <v>139</v>
      </c>
      <c r="E210" s="303" t="s">
        <v>691</v>
      </c>
      <c r="F210" s="326"/>
      <c r="G210" s="326"/>
      <c r="H210" s="326"/>
      <c r="I210" s="327"/>
      <c r="J210" s="327"/>
      <c r="K210" s="327"/>
      <c r="L210" s="327"/>
      <c r="M210" s="327"/>
      <c r="N210" s="326"/>
      <c r="O210" s="326"/>
      <c r="P210" s="326"/>
      <c r="Q210" s="326"/>
      <c r="R210" s="339">
        <f t="shared" si="85"/>
        <v>1.7000000000000455</v>
      </c>
      <c r="S210" s="328"/>
      <c r="T210" s="327">
        <f>Sheet1!H85</f>
        <v>1.7000000000000455</v>
      </c>
      <c r="U210" s="327">
        <f t="shared" si="84"/>
        <v>0</v>
      </c>
      <c r="V210" s="327"/>
      <c r="W210" s="339"/>
      <c r="X210" s="130">
        <f t="shared" si="81"/>
        <v>0</v>
      </c>
      <c r="Y210" s="326"/>
    </row>
    <row r="211" spans="1:25">
      <c r="A211" s="304" t="s">
        <v>678</v>
      </c>
      <c r="B211" s="312" t="s">
        <v>693</v>
      </c>
      <c r="C211" s="617"/>
      <c r="D211" s="629"/>
      <c r="E211" s="303" t="s">
        <v>694</v>
      </c>
      <c r="F211" s="326"/>
      <c r="G211" s="326"/>
      <c r="H211" s="326"/>
      <c r="I211" s="327"/>
      <c r="J211" s="327"/>
      <c r="K211" s="327"/>
      <c r="L211" s="327"/>
      <c r="M211" s="327"/>
      <c r="N211" s="326"/>
      <c r="O211" s="326"/>
      <c r="P211" s="326"/>
      <c r="Q211" s="326"/>
      <c r="R211" s="339">
        <f t="shared" si="85"/>
        <v>1.8450000000000273</v>
      </c>
      <c r="S211" s="328"/>
      <c r="T211" s="327">
        <f>Sheet1!H86</f>
        <v>1.8450000000000273</v>
      </c>
      <c r="U211" s="327">
        <f t="shared" si="84"/>
        <v>0</v>
      </c>
      <c r="V211" s="327"/>
      <c r="W211" s="339"/>
      <c r="X211" s="130">
        <f t="shared" si="81"/>
        <v>0</v>
      </c>
      <c r="Y211" s="326"/>
    </row>
    <row r="212" spans="1:25" ht="30">
      <c r="A212" s="304" t="s">
        <v>679</v>
      </c>
      <c r="B212" s="312" t="s">
        <v>696</v>
      </c>
      <c r="C212" s="290" t="s">
        <v>150</v>
      </c>
      <c r="D212" s="290" t="s">
        <v>140</v>
      </c>
      <c r="E212" s="282" t="s">
        <v>697</v>
      </c>
      <c r="F212" s="326"/>
      <c r="G212" s="326"/>
      <c r="H212" s="326"/>
      <c r="I212" s="327"/>
      <c r="J212" s="327"/>
      <c r="K212" s="327"/>
      <c r="L212" s="327"/>
      <c r="M212" s="327"/>
      <c r="N212" s="326"/>
      <c r="O212" s="326"/>
      <c r="P212" s="326"/>
      <c r="Q212" s="326"/>
      <c r="R212" s="339">
        <f t="shared" si="85"/>
        <v>35.060999999999922</v>
      </c>
      <c r="S212" s="328"/>
      <c r="T212" s="327">
        <f>Sheet1!H87</f>
        <v>35.060999999999922</v>
      </c>
      <c r="U212" s="327">
        <f t="shared" si="84"/>
        <v>0</v>
      </c>
      <c r="V212" s="327"/>
      <c r="W212" s="339"/>
      <c r="X212" s="130">
        <f t="shared" si="81"/>
        <v>0</v>
      </c>
      <c r="Y212" s="326"/>
    </row>
    <row r="213" spans="1:25" ht="30">
      <c r="A213" s="304" t="s">
        <v>680</v>
      </c>
      <c r="B213" s="312" t="s">
        <v>699</v>
      </c>
      <c r="C213" s="621" t="s">
        <v>759</v>
      </c>
      <c r="D213" s="621" t="s">
        <v>141</v>
      </c>
      <c r="E213" s="282" t="s">
        <v>701</v>
      </c>
      <c r="F213" s="326"/>
      <c r="G213" s="326"/>
      <c r="H213" s="326"/>
      <c r="I213" s="327"/>
      <c r="J213" s="327"/>
      <c r="K213" s="327"/>
      <c r="L213" s="327"/>
      <c r="M213" s="327"/>
      <c r="N213" s="326"/>
      <c r="O213" s="326"/>
      <c r="P213" s="326"/>
      <c r="Q213" s="326"/>
      <c r="R213" s="339">
        <f t="shared" si="85"/>
        <v>300</v>
      </c>
      <c r="S213" s="328"/>
      <c r="T213" s="327">
        <f>Sheet1!H88</f>
        <v>300</v>
      </c>
      <c r="U213" s="327">
        <f t="shared" si="84"/>
        <v>0</v>
      </c>
      <c r="V213" s="327"/>
      <c r="W213" s="339"/>
      <c r="X213" s="130">
        <f t="shared" si="81"/>
        <v>0</v>
      </c>
      <c r="Y213" s="326"/>
    </row>
    <row r="214" spans="1:25" ht="30">
      <c r="A214" s="304" t="s">
        <v>681</v>
      </c>
      <c r="B214" s="312" t="s">
        <v>703</v>
      </c>
      <c r="C214" s="622"/>
      <c r="D214" s="622"/>
      <c r="E214" s="282" t="s">
        <v>704</v>
      </c>
      <c r="F214" s="326"/>
      <c r="G214" s="326"/>
      <c r="H214" s="326"/>
      <c r="I214" s="327"/>
      <c r="J214" s="327"/>
      <c r="K214" s="327"/>
      <c r="L214" s="327"/>
      <c r="M214" s="327"/>
      <c r="N214" s="326"/>
      <c r="O214" s="326"/>
      <c r="P214" s="326"/>
      <c r="Q214" s="326"/>
      <c r="R214" s="339">
        <f t="shared" si="85"/>
        <v>600</v>
      </c>
      <c r="S214" s="328"/>
      <c r="T214" s="327">
        <f>Sheet1!H89</f>
        <v>600</v>
      </c>
      <c r="U214" s="327">
        <f t="shared" si="84"/>
        <v>0</v>
      </c>
      <c r="V214" s="327"/>
      <c r="W214" s="339"/>
      <c r="X214" s="130">
        <f t="shared" si="81"/>
        <v>0</v>
      </c>
      <c r="Y214" s="326"/>
    </row>
    <row r="215" spans="1:25" s="202" customFormat="1" ht="34.5" customHeight="1">
      <c r="A215" s="346" t="s">
        <v>13</v>
      </c>
      <c r="B215" s="346" t="s">
        <v>31</v>
      </c>
      <c r="C215" s="346"/>
      <c r="D215" s="346"/>
      <c r="E215" s="347"/>
      <c r="F215" s="348"/>
      <c r="G215" s="348"/>
      <c r="H215" s="348"/>
      <c r="I215" s="349"/>
      <c r="J215" s="349"/>
      <c r="K215" s="349"/>
      <c r="L215" s="349"/>
      <c r="M215" s="349"/>
      <c r="N215" s="348"/>
      <c r="O215" s="348"/>
      <c r="P215" s="348"/>
      <c r="Q215" s="348"/>
      <c r="R215" s="350">
        <f>T215</f>
        <v>8720.5684999999994</v>
      </c>
      <c r="S215" s="351"/>
      <c r="T215" s="349">
        <f>SUM(T217:T236)</f>
        <v>8720.5684999999994</v>
      </c>
      <c r="U215" s="349">
        <f>SUM(U217:U236)</f>
        <v>2747.6400000000003</v>
      </c>
      <c r="V215" s="349">
        <f t="shared" ref="V215" si="86">SUM(V217:V236)</f>
        <v>0</v>
      </c>
      <c r="W215" s="583">
        <f>SUM(W217:W236)</f>
        <v>2747.6400000000003</v>
      </c>
      <c r="X215" s="349">
        <f>U215/R215*100</f>
        <v>31.507578892362353</v>
      </c>
      <c r="Y215" s="348"/>
    </row>
    <row r="216" spans="1:25" s="345" customFormat="1" ht="30" hidden="1">
      <c r="A216" s="297">
        <v>1</v>
      </c>
      <c r="B216" s="322" t="s">
        <v>705</v>
      </c>
      <c r="C216" s="321"/>
      <c r="D216" s="321"/>
      <c r="E216" s="301"/>
      <c r="F216" s="298"/>
      <c r="G216" s="298"/>
      <c r="H216" s="298"/>
      <c r="I216" s="341"/>
      <c r="J216" s="341"/>
      <c r="K216" s="341"/>
      <c r="L216" s="341"/>
      <c r="M216" s="341"/>
      <c r="N216" s="342"/>
      <c r="O216" s="342"/>
      <c r="P216" s="342"/>
      <c r="Q216" s="342"/>
      <c r="R216" s="343">
        <f t="shared" si="85"/>
        <v>8720.5684999999994</v>
      </c>
      <c r="S216" s="344"/>
      <c r="T216" s="341">
        <f>Sheet1!H91</f>
        <v>8720.5684999999994</v>
      </c>
      <c r="U216" s="341"/>
      <c r="V216" s="341"/>
      <c r="W216" s="343"/>
      <c r="X216" s="130">
        <f t="shared" si="81"/>
        <v>0</v>
      </c>
      <c r="Y216" s="342"/>
    </row>
    <row r="217" spans="1:25" ht="30">
      <c r="A217" s="308">
        <v>1</v>
      </c>
      <c r="B217" s="312" t="s">
        <v>706</v>
      </c>
      <c r="C217" s="617" t="s">
        <v>750</v>
      </c>
      <c r="D217" s="621" t="s">
        <v>124</v>
      </c>
      <c r="E217" s="282" t="s">
        <v>707</v>
      </c>
      <c r="F217" s="326"/>
      <c r="G217" s="326"/>
      <c r="H217" s="326"/>
      <c r="I217" s="327"/>
      <c r="J217" s="327"/>
      <c r="K217" s="327"/>
      <c r="L217" s="327"/>
      <c r="M217" s="327"/>
      <c r="N217" s="326"/>
      <c r="O217" s="326"/>
      <c r="P217" s="326"/>
      <c r="Q217" s="326"/>
      <c r="R217" s="339">
        <f t="shared" si="85"/>
        <v>2.5019999999999527</v>
      </c>
      <c r="S217" s="328"/>
      <c r="T217" s="327">
        <f>Sheet1!H92</f>
        <v>2.5019999999999527</v>
      </c>
      <c r="U217" s="327">
        <f t="shared" ref="U217:U236" si="87">V217+W217</f>
        <v>0</v>
      </c>
      <c r="V217" s="327"/>
      <c r="W217" s="339"/>
      <c r="X217" s="130">
        <f t="shared" si="81"/>
        <v>0</v>
      </c>
      <c r="Y217" s="326"/>
    </row>
    <row r="218" spans="1:25" ht="30">
      <c r="A218" s="308">
        <v>2</v>
      </c>
      <c r="B218" s="312" t="s">
        <v>708</v>
      </c>
      <c r="C218" s="617"/>
      <c r="D218" s="622"/>
      <c r="E218" s="282" t="s">
        <v>709</v>
      </c>
      <c r="F218" s="326"/>
      <c r="G218" s="326"/>
      <c r="H218" s="326"/>
      <c r="I218" s="327"/>
      <c r="J218" s="327"/>
      <c r="K218" s="327"/>
      <c r="L218" s="327"/>
      <c r="M218" s="327"/>
      <c r="N218" s="326"/>
      <c r="O218" s="326"/>
      <c r="P218" s="326"/>
      <c r="Q218" s="326"/>
      <c r="R218" s="339">
        <f t="shared" si="85"/>
        <v>1.3949999999999818</v>
      </c>
      <c r="S218" s="328"/>
      <c r="T218" s="327">
        <f>Sheet1!H93</f>
        <v>1.3949999999999818</v>
      </c>
      <c r="U218" s="327">
        <f t="shared" si="87"/>
        <v>0</v>
      </c>
      <c r="V218" s="327"/>
      <c r="W218" s="339"/>
      <c r="X218" s="130">
        <f t="shared" si="81"/>
        <v>0</v>
      </c>
      <c r="Y218" s="326"/>
    </row>
    <row r="219" spans="1:25" ht="30">
      <c r="A219" s="308">
        <v>3</v>
      </c>
      <c r="B219" s="312" t="s">
        <v>710</v>
      </c>
      <c r="C219" s="290" t="s">
        <v>751</v>
      </c>
      <c r="D219" s="621" t="s">
        <v>128</v>
      </c>
      <c r="E219" s="282" t="s">
        <v>711</v>
      </c>
      <c r="F219" s="326"/>
      <c r="G219" s="326"/>
      <c r="H219" s="326"/>
      <c r="I219" s="327"/>
      <c r="J219" s="327"/>
      <c r="K219" s="327"/>
      <c r="L219" s="327"/>
      <c r="M219" s="327"/>
      <c r="N219" s="326"/>
      <c r="O219" s="326"/>
      <c r="P219" s="326"/>
      <c r="Q219" s="326"/>
      <c r="R219" s="339">
        <f t="shared" si="85"/>
        <v>6.5450000000000728</v>
      </c>
      <c r="S219" s="328"/>
      <c r="T219" s="327">
        <f>Sheet1!H94</f>
        <v>6.5450000000000728</v>
      </c>
      <c r="U219" s="327">
        <f t="shared" si="87"/>
        <v>0</v>
      </c>
      <c r="V219" s="327"/>
      <c r="W219" s="339"/>
      <c r="X219" s="130">
        <f t="shared" si="81"/>
        <v>0</v>
      </c>
      <c r="Y219" s="326"/>
    </row>
    <row r="220" spans="1:25" ht="30">
      <c r="A220" s="308">
        <v>4</v>
      </c>
      <c r="B220" s="312" t="s">
        <v>712</v>
      </c>
      <c r="C220" s="290" t="s">
        <v>713</v>
      </c>
      <c r="D220" s="630"/>
      <c r="E220" s="282" t="s">
        <v>714</v>
      </c>
      <c r="F220" s="326"/>
      <c r="G220" s="326"/>
      <c r="H220" s="326"/>
      <c r="I220" s="327"/>
      <c r="J220" s="327"/>
      <c r="K220" s="327"/>
      <c r="L220" s="327"/>
      <c r="M220" s="327"/>
      <c r="N220" s="326"/>
      <c r="O220" s="326"/>
      <c r="P220" s="326"/>
      <c r="Q220" s="326"/>
      <c r="R220" s="339">
        <f t="shared" si="85"/>
        <v>16.23599999999999</v>
      </c>
      <c r="S220" s="328"/>
      <c r="T220" s="327">
        <f>Sheet1!H95</f>
        <v>16.23599999999999</v>
      </c>
      <c r="U220" s="327">
        <f t="shared" si="87"/>
        <v>0</v>
      </c>
      <c r="V220" s="327"/>
      <c r="W220" s="339"/>
      <c r="X220" s="130">
        <f t="shared" si="81"/>
        <v>0</v>
      </c>
      <c r="Y220" s="326"/>
    </row>
    <row r="221" spans="1:25" ht="30">
      <c r="A221" s="308">
        <v>5</v>
      </c>
      <c r="B221" s="312" t="s">
        <v>715</v>
      </c>
      <c r="C221" s="290" t="s">
        <v>751</v>
      </c>
      <c r="D221" s="622"/>
      <c r="E221" s="282" t="s">
        <v>716</v>
      </c>
      <c r="F221" s="326"/>
      <c r="G221" s="326"/>
      <c r="H221" s="326"/>
      <c r="I221" s="327"/>
      <c r="J221" s="327"/>
      <c r="K221" s="327"/>
      <c r="L221" s="327"/>
      <c r="M221" s="327"/>
      <c r="N221" s="326"/>
      <c r="O221" s="326"/>
      <c r="P221" s="326"/>
      <c r="Q221" s="326"/>
      <c r="R221" s="339">
        <f t="shared" si="85"/>
        <v>1.40300000000002</v>
      </c>
      <c r="S221" s="328"/>
      <c r="T221" s="327">
        <f>Sheet1!H96</f>
        <v>1.40300000000002</v>
      </c>
      <c r="U221" s="327">
        <f t="shared" si="87"/>
        <v>0</v>
      </c>
      <c r="V221" s="327"/>
      <c r="W221" s="339"/>
      <c r="X221" s="130">
        <f t="shared" si="81"/>
        <v>0</v>
      </c>
      <c r="Y221" s="326"/>
    </row>
    <row r="222" spans="1:25" ht="30">
      <c r="A222" s="308">
        <v>6</v>
      </c>
      <c r="B222" s="312" t="s">
        <v>717</v>
      </c>
      <c r="C222" s="290" t="s">
        <v>752</v>
      </c>
      <c r="D222" s="621" t="s">
        <v>718</v>
      </c>
      <c r="E222" s="282" t="s">
        <v>719</v>
      </c>
      <c r="F222" s="326"/>
      <c r="G222" s="326"/>
      <c r="H222" s="326"/>
      <c r="I222" s="327"/>
      <c r="J222" s="327"/>
      <c r="K222" s="327"/>
      <c r="L222" s="327"/>
      <c r="M222" s="327"/>
      <c r="N222" s="326"/>
      <c r="O222" s="326"/>
      <c r="P222" s="326"/>
      <c r="Q222" s="326"/>
      <c r="R222" s="339">
        <f t="shared" si="85"/>
        <v>3.5984999999999445</v>
      </c>
      <c r="S222" s="328"/>
      <c r="T222" s="327">
        <f>Sheet1!H97</f>
        <v>3.5984999999999445</v>
      </c>
      <c r="U222" s="327">
        <f t="shared" si="87"/>
        <v>0</v>
      </c>
      <c r="V222" s="327"/>
      <c r="W222" s="339"/>
      <c r="X222" s="130">
        <f t="shared" si="81"/>
        <v>0</v>
      </c>
      <c r="Y222" s="326"/>
    </row>
    <row r="223" spans="1:25" ht="30">
      <c r="A223" s="308">
        <v>8</v>
      </c>
      <c r="B223" s="312" t="s">
        <v>720</v>
      </c>
      <c r="C223" s="290" t="s">
        <v>752</v>
      </c>
      <c r="D223" s="622"/>
      <c r="E223" s="282" t="s">
        <v>721</v>
      </c>
      <c r="F223" s="326"/>
      <c r="G223" s="326"/>
      <c r="H223" s="326"/>
      <c r="I223" s="327"/>
      <c r="J223" s="327"/>
      <c r="K223" s="327"/>
      <c r="L223" s="327"/>
      <c r="M223" s="327"/>
      <c r="N223" s="326"/>
      <c r="O223" s="326"/>
      <c r="P223" s="326"/>
      <c r="Q223" s="326"/>
      <c r="R223" s="339">
        <f t="shared" si="85"/>
        <v>2.5679999999999836</v>
      </c>
      <c r="S223" s="328"/>
      <c r="T223" s="327">
        <f>Sheet1!H98</f>
        <v>2.5679999999999836</v>
      </c>
      <c r="U223" s="327">
        <f t="shared" si="87"/>
        <v>0</v>
      </c>
      <c r="V223" s="327"/>
      <c r="W223" s="339"/>
      <c r="X223" s="130">
        <f t="shared" si="81"/>
        <v>0</v>
      </c>
      <c r="Y223" s="326"/>
    </row>
    <row r="224" spans="1:25">
      <c r="A224" s="308">
        <v>11</v>
      </c>
      <c r="B224" s="312" t="s">
        <v>722</v>
      </c>
      <c r="C224" s="617" t="s">
        <v>754</v>
      </c>
      <c r="D224" s="621" t="s">
        <v>134</v>
      </c>
      <c r="E224" s="282" t="s">
        <v>723</v>
      </c>
      <c r="F224" s="326"/>
      <c r="G224" s="326"/>
      <c r="H224" s="326"/>
      <c r="I224" s="327"/>
      <c r="J224" s="327"/>
      <c r="K224" s="327"/>
      <c r="L224" s="327"/>
      <c r="M224" s="327"/>
      <c r="N224" s="326"/>
      <c r="O224" s="326"/>
      <c r="P224" s="326"/>
      <c r="Q224" s="326"/>
      <c r="R224" s="339">
        <f t="shared" si="85"/>
        <v>906</v>
      </c>
      <c r="S224" s="328"/>
      <c r="T224" s="327">
        <f>Sheet1!H99</f>
        <v>906</v>
      </c>
      <c r="U224" s="327">
        <f t="shared" si="87"/>
        <v>906</v>
      </c>
      <c r="V224" s="327"/>
      <c r="W224" s="339">
        <v>906</v>
      </c>
      <c r="X224" s="130">
        <f t="shared" si="81"/>
        <v>100</v>
      </c>
      <c r="Y224" s="326"/>
    </row>
    <row r="225" spans="1:25" ht="30">
      <c r="A225" s="308">
        <v>12</v>
      </c>
      <c r="B225" s="312" t="s">
        <v>724</v>
      </c>
      <c r="C225" s="617"/>
      <c r="D225" s="622"/>
      <c r="E225" s="282" t="s">
        <v>725</v>
      </c>
      <c r="F225" s="326"/>
      <c r="G225" s="326"/>
      <c r="H225" s="326"/>
      <c r="I225" s="327"/>
      <c r="J225" s="327"/>
      <c r="K225" s="327"/>
      <c r="L225" s="327"/>
      <c r="M225" s="327"/>
      <c r="N225" s="326"/>
      <c r="O225" s="326"/>
      <c r="P225" s="326"/>
      <c r="Q225" s="326"/>
      <c r="R225" s="339">
        <f t="shared" si="85"/>
        <v>800</v>
      </c>
      <c r="S225" s="328"/>
      <c r="T225" s="327">
        <f>Sheet1!H100</f>
        <v>800</v>
      </c>
      <c r="U225" s="327">
        <f t="shared" si="87"/>
        <v>800</v>
      </c>
      <c r="V225" s="327"/>
      <c r="W225" s="339">
        <v>800</v>
      </c>
      <c r="X225" s="130">
        <f t="shared" si="81"/>
        <v>100</v>
      </c>
      <c r="Y225" s="326"/>
    </row>
    <row r="226" spans="1:25">
      <c r="A226" s="308">
        <v>13</v>
      </c>
      <c r="B226" s="312" t="s">
        <v>726</v>
      </c>
      <c r="C226" s="617" t="s">
        <v>757</v>
      </c>
      <c r="D226" s="621" t="s">
        <v>135</v>
      </c>
      <c r="E226" s="282" t="s">
        <v>727</v>
      </c>
      <c r="F226" s="326"/>
      <c r="G226" s="326"/>
      <c r="H226" s="326"/>
      <c r="I226" s="327"/>
      <c r="J226" s="327"/>
      <c r="K226" s="327"/>
      <c r="L226" s="327"/>
      <c r="M226" s="327"/>
      <c r="N226" s="326"/>
      <c r="O226" s="326"/>
      <c r="P226" s="326"/>
      <c r="Q226" s="326"/>
      <c r="R226" s="339">
        <f t="shared" si="85"/>
        <v>1256</v>
      </c>
      <c r="S226" s="328"/>
      <c r="T226" s="327">
        <f>Sheet1!H101</f>
        <v>1256</v>
      </c>
      <c r="U226" s="327">
        <f t="shared" si="87"/>
        <v>0</v>
      </c>
      <c r="V226" s="327"/>
      <c r="W226" s="339"/>
      <c r="X226" s="130">
        <f t="shared" si="81"/>
        <v>0</v>
      </c>
      <c r="Y226" s="326"/>
    </row>
    <row r="227" spans="1:25">
      <c r="A227" s="308">
        <v>14</v>
      </c>
      <c r="B227" s="312" t="s">
        <v>728</v>
      </c>
      <c r="C227" s="617"/>
      <c r="D227" s="622"/>
      <c r="E227" s="282" t="s">
        <v>729</v>
      </c>
      <c r="F227" s="326"/>
      <c r="G227" s="326"/>
      <c r="H227" s="326"/>
      <c r="I227" s="327"/>
      <c r="J227" s="327"/>
      <c r="K227" s="327"/>
      <c r="L227" s="327"/>
      <c r="M227" s="327"/>
      <c r="N227" s="326"/>
      <c r="O227" s="326"/>
      <c r="P227" s="326"/>
      <c r="Q227" s="326"/>
      <c r="R227" s="339">
        <f t="shared" si="85"/>
        <v>450</v>
      </c>
      <c r="S227" s="328"/>
      <c r="T227" s="327">
        <f>Sheet1!H102</f>
        <v>450</v>
      </c>
      <c r="U227" s="327">
        <f t="shared" si="87"/>
        <v>0</v>
      </c>
      <c r="V227" s="327"/>
      <c r="W227" s="339"/>
      <c r="X227" s="130">
        <f t="shared" si="81"/>
        <v>0</v>
      </c>
      <c r="Y227" s="326"/>
    </row>
    <row r="228" spans="1:25">
      <c r="A228" s="308">
        <v>15</v>
      </c>
      <c r="B228" s="312" t="s">
        <v>730</v>
      </c>
      <c r="C228" s="617" t="s">
        <v>756</v>
      </c>
      <c r="D228" s="621" t="s">
        <v>137</v>
      </c>
      <c r="E228" s="282" t="s">
        <v>731</v>
      </c>
      <c r="F228" s="326"/>
      <c r="G228" s="326"/>
      <c r="H228" s="326"/>
      <c r="I228" s="327"/>
      <c r="J228" s="327"/>
      <c r="K228" s="327"/>
      <c r="L228" s="327"/>
      <c r="M228" s="327"/>
      <c r="N228" s="326"/>
      <c r="O228" s="326"/>
      <c r="P228" s="326"/>
      <c r="Q228" s="326"/>
      <c r="R228" s="339">
        <f t="shared" si="85"/>
        <v>900</v>
      </c>
      <c r="S228" s="328"/>
      <c r="T228" s="327">
        <f>Sheet1!H103</f>
        <v>900</v>
      </c>
      <c r="U228" s="327">
        <f t="shared" si="87"/>
        <v>0</v>
      </c>
      <c r="V228" s="327"/>
      <c r="W228" s="339"/>
      <c r="X228" s="130">
        <f t="shared" si="81"/>
        <v>0</v>
      </c>
      <c r="Y228" s="326"/>
    </row>
    <row r="229" spans="1:25">
      <c r="A229" s="308">
        <v>16</v>
      </c>
      <c r="B229" s="312" t="s">
        <v>732</v>
      </c>
      <c r="C229" s="617"/>
      <c r="D229" s="622"/>
      <c r="E229" s="282" t="s">
        <v>733</v>
      </c>
      <c r="F229" s="326"/>
      <c r="G229" s="326"/>
      <c r="H229" s="326"/>
      <c r="I229" s="327"/>
      <c r="J229" s="327"/>
      <c r="K229" s="327"/>
      <c r="L229" s="327"/>
      <c r="M229" s="327"/>
      <c r="N229" s="326"/>
      <c r="O229" s="326"/>
      <c r="P229" s="326"/>
      <c r="Q229" s="326"/>
      <c r="R229" s="339">
        <f t="shared" si="85"/>
        <v>806</v>
      </c>
      <c r="S229" s="328"/>
      <c r="T229" s="327">
        <f>Sheet1!H104</f>
        <v>806</v>
      </c>
      <c r="U229" s="327">
        <f t="shared" si="87"/>
        <v>0</v>
      </c>
      <c r="V229" s="327"/>
      <c r="W229" s="339"/>
      <c r="X229" s="130">
        <f t="shared" si="81"/>
        <v>0</v>
      </c>
      <c r="Y229" s="326"/>
    </row>
    <row r="230" spans="1:25">
      <c r="A230" s="308">
        <v>17</v>
      </c>
      <c r="B230" s="312" t="s">
        <v>734</v>
      </c>
      <c r="C230" s="617" t="s">
        <v>755</v>
      </c>
      <c r="D230" s="621" t="s">
        <v>138</v>
      </c>
      <c r="E230" s="282" t="s">
        <v>736</v>
      </c>
      <c r="F230" s="326"/>
      <c r="G230" s="326"/>
      <c r="H230" s="326"/>
      <c r="I230" s="327"/>
      <c r="J230" s="327"/>
      <c r="K230" s="327"/>
      <c r="L230" s="327"/>
      <c r="M230" s="327"/>
      <c r="N230" s="326"/>
      <c r="O230" s="326"/>
      <c r="P230" s="326"/>
      <c r="Q230" s="326"/>
      <c r="R230" s="339">
        <f t="shared" si="85"/>
        <v>1046</v>
      </c>
      <c r="S230" s="328"/>
      <c r="T230" s="327">
        <f>Sheet1!H105</f>
        <v>1046</v>
      </c>
      <c r="U230" s="327">
        <f t="shared" si="87"/>
        <v>1041.6400000000001</v>
      </c>
      <c r="V230" s="327"/>
      <c r="W230" s="339">
        <v>1041.6400000000001</v>
      </c>
      <c r="X230" s="130">
        <f t="shared" si="81"/>
        <v>99.583173996175915</v>
      </c>
      <c r="Y230" s="326"/>
    </row>
    <row r="231" spans="1:25">
      <c r="A231" s="308">
        <v>18</v>
      </c>
      <c r="B231" s="312" t="s">
        <v>737</v>
      </c>
      <c r="C231" s="617"/>
      <c r="D231" s="622"/>
      <c r="E231" s="282" t="s">
        <v>738</v>
      </c>
      <c r="F231" s="326"/>
      <c r="G231" s="326"/>
      <c r="H231" s="326"/>
      <c r="I231" s="327"/>
      <c r="J231" s="327"/>
      <c r="K231" s="327"/>
      <c r="L231" s="327"/>
      <c r="M231" s="327"/>
      <c r="N231" s="326"/>
      <c r="O231" s="326"/>
      <c r="P231" s="326"/>
      <c r="Q231" s="326"/>
      <c r="R231" s="339">
        <f t="shared" si="85"/>
        <v>660</v>
      </c>
      <c r="S231" s="328"/>
      <c r="T231" s="327">
        <f>Sheet1!H106</f>
        <v>660</v>
      </c>
      <c r="U231" s="327">
        <f t="shared" si="87"/>
        <v>0</v>
      </c>
      <c r="V231" s="327"/>
      <c r="W231" s="339"/>
      <c r="X231" s="130">
        <f t="shared" si="81"/>
        <v>0</v>
      </c>
      <c r="Y231" s="326"/>
    </row>
    <row r="232" spans="1:25">
      <c r="A232" s="308">
        <v>19</v>
      </c>
      <c r="B232" s="312" t="s">
        <v>739</v>
      </c>
      <c r="C232" s="617" t="s">
        <v>758</v>
      </c>
      <c r="D232" s="621" t="s">
        <v>139</v>
      </c>
      <c r="E232" s="282" t="s">
        <v>740</v>
      </c>
      <c r="F232" s="326"/>
      <c r="G232" s="326"/>
      <c r="H232" s="326"/>
      <c r="I232" s="327"/>
      <c r="J232" s="327"/>
      <c r="K232" s="327"/>
      <c r="L232" s="327"/>
      <c r="M232" s="327"/>
      <c r="N232" s="326"/>
      <c r="O232" s="326"/>
      <c r="P232" s="326"/>
      <c r="Q232" s="326"/>
      <c r="R232" s="339">
        <f t="shared" si="85"/>
        <v>2.8499999999999091</v>
      </c>
      <c r="S232" s="328"/>
      <c r="T232" s="327">
        <f>Sheet1!H107</f>
        <v>2.8499999999999091</v>
      </c>
      <c r="U232" s="327">
        <f t="shared" si="87"/>
        <v>0</v>
      </c>
      <c r="V232" s="327"/>
      <c r="W232" s="339"/>
      <c r="X232" s="130">
        <f t="shared" si="81"/>
        <v>0</v>
      </c>
      <c r="Y232" s="326"/>
    </row>
    <row r="233" spans="1:25">
      <c r="A233" s="308">
        <v>20</v>
      </c>
      <c r="B233" s="312" t="s">
        <v>741</v>
      </c>
      <c r="C233" s="617"/>
      <c r="D233" s="622"/>
      <c r="E233" s="282" t="s">
        <v>742</v>
      </c>
      <c r="F233" s="326"/>
      <c r="G233" s="326"/>
      <c r="H233" s="326"/>
      <c r="I233" s="327"/>
      <c r="J233" s="327"/>
      <c r="K233" s="327"/>
      <c r="L233" s="327"/>
      <c r="M233" s="327"/>
      <c r="N233" s="326"/>
      <c r="O233" s="326"/>
      <c r="P233" s="326"/>
      <c r="Q233" s="326"/>
      <c r="R233" s="339">
        <f t="shared" si="85"/>
        <v>600</v>
      </c>
      <c r="S233" s="328"/>
      <c r="T233" s="327">
        <f>Sheet1!H108</f>
        <v>600</v>
      </c>
      <c r="U233" s="327">
        <f t="shared" si="87"/>
        <v>0</v>
      </c>
      <c r="V233" s="327"/>
      <c r="W233" s="339"/>
      <c r="X233" s="130">
        <f t="shared" si="81"/>
        <v>0</v>
      </c>
      <c r="Y233" s="326"/>
    </row>
    <row r="234" spans="1:25">
      <c r="A234" s="308">
        <v>21</v>
      </c>
      <c r="B234" s="312" t="s">
        <v>743</v>
      </c>
      <c r="C234" s="617" t="s">
        <v>760</v>
      </c>
      <c r="D234" s="621" t="s">
        <v>140</v>
      </c>
      <c r="E234" s="282" t="s">
        <v>745</v>
      </c>
      <c r="F234" s="326"/>
      <c r="G234" s="326"/>
      <c r="H234" s="326"/>
      <c r="I234" s="327"/>
      <c r="J234" s="327"/>
      <c r="K234" s="327"/>
      <c r="L234" s="327"/>
      <c r="M234" s="327"/>
      <c r="N234" s="326"/>
      <c r="O234" s="326"/>
      <c r="P234" s="326"/>
      <c r="Q234" s="326"/>
      <c r="R234" s="339">
        <f t="shared" si="85"/>
        <v>13.471000000000004</v>
      </c>
      <c r="S234" s="328"/>
      <c r="T234" s="327">
        <f>Sheet1!H109</f>
        <v>13.471000000000004</v>
      </c>
      <c r="U234" s="327">
        <f t="shared" si="87"/>
        <v>0</v>
      </c>
      <c r="V234" s="327"/>
      <c r="W234" s="339"/>
      <c r="X234" s="130">
        <f t="shared" si="81"/>
        <v>0</v>
      </c>
      <c r="Y234" s="326"/>
    </row>
    <row r="235" spans="1:25" ht="30">
      <c r="A235" s="308">
        <v>22</v>
      </c>
      <c r="B235" s="312" t="s">
        <v>746</v>
      </c>
      <c r="C235" s="617"/>
      <c r="D235" s="622"/>
      <c r="E235" s="282" t="s">
        <v>747</v>
      </c>
      <c r="F235" s="326"/>
      <c r="G235" s="326"/>
      <c r="H235" s="326"/>
      <c r="I235" s="327"/>
      <c r="J235" s="327"/>
      <c r="K235" s="327"/>
      <c r="L235" s="327"/>
      <c r="M235" s="327"/>
      <c r="N235" s="326"/>
      <c r="O235" s="326"/>
      <c r="P235" s="326"/>
      <c r="Q235" s="326"/>
      <c r="R235" s="339">
        <f t="shared" si="85"/>
        <v>440</v>
      </c>
      <c r="S235" s="328"/>
      <c r="T235" s="327">
        <f>Sheet1!H110</f>
        <v>440</v>
      </c>
      <c r="U235" s="327">
        <f t="shared" si="87"/>
        <v>0</v>
      </c>
      <c r="V235" s="327"/>
      <c r="W235" s="339"/>
      <c r="X235" s="130">
        <f t="shared" ref="X235:X236" si="88">U235/R235*100</f>
        <v>0</v>
      </c>
      <c r="Y235" s="326"/>
    </row>
    <row r="236" spans="1:25" ht="30">
      <c r="A236" s="308">
        <v>24</v>
      </c>
      <c r="B236" s="312" t="s">
        <v>748</v>
      </c>
      <c r="C236" s="290" t="s">
        <v>761</v>
      </c>
      <c r="D236" s="290" t="s">
        <v>141</v>
      </c>
      <c r="E236" s="282" t="s">
        <v>749</v>
      </c>
      <c r="F236" s="326"/>
      <c r="G236" s="326"/>
      <c r="H236" s="326"/>
      <c r="I236" s="327"/>
      <c r="J236" s="327"/>
      <c r="K236" s="327"/>
      <c r="L236" s="327"/>
      <c r="M236" s="327"/>
      <c r="N236" s="326"/>
      <c r="O236" s="326"/>
      <c r="P236" s="326"/>
      <c r="Q236" s="326"/>
      <c r="R236" s="339">
        <f t="shared" si="85"/>
        <v>806</v>
      </c>
      <c r="S236" s="328"/>
      <c r="T236" s="327">
        <f>Sheet1!H111</f>
        <v>806</v>
      </c>
      <c r="U236" s="327">
        <f t="shared" si="87"/>
        <v>0</v>
      </c>
      <c r="V236" s="327"/>
      <c r="W236" s="339"/>
      <c r="X236" s="130">
        <f t="shared" si="88"/>
        <v>0</v>
      </c>
      <c r="Y236" s="326"/>
    </row>
  </sheetData>
  <mergeCells count="87">
    <mergeCell ref="A2:Y2"/>
    <mergeCell ref="X5:X8"/>
    <mergeCell ref="S7:T7"/>
    <mergeCell ref="U7:U8"/>
    <mergeCell ref="J7:J8"/>
    <mergeCell ref="V7:W7"/>
    <mergeCell ref="F5:F8"/>
    <mergeCell ref="G5:G8"/>
    <mergeCell ref="H5:J5"/>
    <mergeCell ref="K5:L6"/>
    <mergeCell ref="R7:R8"/>
    <mergeCell ref="R5:T6"/>
    <mergeCell ref="U5:W6"/>
    <mergeCell ref="Y5:Y8"/>
    <mergeCell ref="H6:H8"/>
    <mergeCell ref="I6:J6"/>
    <mergeCell ref="I7:I8"/>
    <mergeCell ref="M5:P6"/>
    <mergeCell ref="M7:M8"/>
    <mergeCell ref="N7:N8"/>
    <mergeCell ref="K7:K8"/>
    <mergeCell ref="L7:L8"/>
    <mergeCell ref="O7:P7"/>
    <mergeCell ref="Q7:Q8"/>
    <mergeCell ref="A5:A8"/>
    <mergeCell ref="B5:B8"/>
    <mergeCell ref="C5:C8"/>
    <mergeCell ref="D5:D8"/>
    <mergeCell ref="E5:E8"/>
    <mergeCell ref="C13:C27"/>
    <mergeCell ref="C28:C29"/>
    <mergeCell ref="C30:C31"/>
    <mergeCell ref="C34:C38"/>
    <mergeCell ref="C41:C46"/>
    <mergeCell ref="D182:D183"/>
    <mergeCell ref="D179:D180"/>
    <mergeCell ref="D177:D178"/>
    <mergeCell ref="C136:C137"/>
    <mergeCell ref="C48:C49"/>
    <mergeCell ref="D48:D49"/>
    <mergeCell ref="C60:C61"/>
    <mergeCell ref="C133:C134"/>
    <mergeCell ref="C162:C170"/>
    <mergeCell ref="C176:C191"/>
    <mergeCell ref="C122:C127"/>
    <mergeCell ref="C107:C113"/>
    <mergeCell ref="C88:C89"/>
    <mergeCell ref="C82:C83"/>
    <mergeCell ref="C85:C86"/>
    <mergeCell ref="C119:C120"/>
    <mergeCell ref="D195:D197"/>
    <mergeCell ref="D192:D194"/>
    <mergeCell ref="D189:D191"/>
    <mergeCell ref="D187:D188"/>
    <mergeCell ref="D185:D186"/>
    <mergeCell ref="D232:D233"/>
    <mergeCell ref="D234:D235"/>
    <mergeCell ref="D217:D218"/>
    <mergeCell ref="D199:D201"/>
    <mergeCell ref="D202:D203"/>
    <mergeCell ref="D204:D205"/>
    <mergeCell ref="D206:D207"/>
    <mergeCell ref="D208:D209"/>
    <mergeCell ref="D210:D211"/>
    <mergeCell ref="D213:D214"/>
    <mergeCell ref="D219:D221"/>
    <mergeCell ref="D222:D223"/>
    <mergeCell ref="D226:D227"/>
    <mergeCell ref="D228:D229"/>
    <mergeCell ref="D230:D231"/>
    <mergeCell ref="D224:D225"/>
    <mergeCell ref="X1:Y1"/>
    <mergeCell ref="C234:C235"/>
    <mergeCell ref="C150:C159"/>
    <mergeCell ref="C208:C209"/>
    <mergeCell ref="C213:C214"/>
    <mergeCell ref="C202:C203"/>
    <mergeCell ref="C204:C205"/>
    <mergeCell ref="C210:C211"/>
    <mergeCell ref="C217:C218"/>
    <mergeCell ref="C224:C225"/>
    <mergeCell ref="C226:C227"/>
    <mergeCell ref="C193:C194"/>
    <mergeCell ref="C195:C197"/>
    <mergeCell ref="C228:C229"/>
    <mergeCell ref="C230:C231"/>
    <mergeCell ref="C232:C233"/>
  </mergeCells>
  <phoneticPr fontId="266" type="noConversion"/>
  <pageMargins left="0.45" right="0.45" top="0.39" bottom="0.42" header="0.3" footer="0.3"/>
  <pageSetup paperSize="9" fitToHeight="0" orientation="landscape" verticalDpi="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2"/>
  <sheetViews>
    <sheetView workbookViewId="0">
      <selection activeCell="A2" sqref="A2:K2"/>
    </sheetView>
  </sheetViews>
  <sheetFormatPr defaultRowHeight="16.5"/>
  <cols>
    <col min="1" max="1" width="10.33203125" style="139" customWidth="1"/>
    <col min="2" max="2" width="62.5" style="139" customWidth="1"/>
    <col min="3" max="3" width="22.83203125" style="200" customWidth="1"/>
    <col min="4" max="7" width="15.33203125" style="243" customWidth="1"/>
    <col min="8" max="9" width="15.33203125" style="189" customWidth="1"/>
    <col min="10" max="10" width="10.1640625" style="556" customWidth="1"/>
    <col min="11" max="11" width="16.5" style="139" customWidth="1"/>
    <col min="12" max="16384" width="9.33203125" style="139"/>
  </cols>
  <sheetData>
    <row r="1" spans="1:14" ht="15.75">
      <c r="A1" s="584"/>
      <c r="B1" s="584"/>
      <c r="C1" s="584"/>
      <c r="D1" s="584"/>
      <c r="E1" s="584"/>
      <c r="F1" s="584"/>
      <c r="G1" s="584"/>
      <c r="H1" s="584"/>
      <c r="I1" s="584"/>
      <c r="J1" s="691" t="s">
        <v>849</v>
      </c>
      <c r="K1" s="691"/>
      <c r="L1" s="2"/>
    </row>
    <row r="2" spans="1:14" ht="27.75" customHeight="1">
      <c r="A2" s="681" t="s">
        <v>472</v>
      </c>
      <c r="B2" s="681"/>
      <c r="C2" s="681"/>
      <c r="D2" s="681"/>
      <c r="E2" s="681"/>
      <c r="F2" s="681"/>
      <c r="G2" s="681"/>
      <c r="H2" s="681"/>
      <c r="I2" s="681"/>
      <c r="J2" s="681"/>
      <c r="K2" s="681"/>
      <c r="L2" s="3"/>
    </row>
    <row r="3" spans="1:14">
      <c r="J3" s="683" t="s">
        <v>2</v>
      </c>
      <c r="K3" s="683"/>
    </row>
    <row r="4" spans="1:14" ht="30.75" customHeight="1">
      <c r="A4" s="682" t="s">
        <v>0</v>
      </c>
      <c r="B4" s="682" t="s">
        <v>149</v>
      </c>
      <c r="C4" s="682" t="s">
        <v>470</v>
      </c>
      <c r="D4" s="684" t="s">
        <v>474</v>
      </c>
      <c r="E4" s="685"/>
      <c r="F4" s="686"/>
      <c r="G4" s="687" t="s">
        <v>843</v>
      </c>
      <c r="H4" s="688"/>
      <c r="I4" s="689"/>
      <c r="J4" s="690" t="s">
        <v>143</v>
      </c>
      <c r="K4" s="682" t="s">
        <v>1</v>
      </c>
    </row>
    <row r="5" spans="1:14" ht="61.5" customHeight="1">
      <c r="A5" s="682"/>
      <c r="B5" s="682"/>
      <c r="C5" s="682"/>
      <c r="D5" s="244" t="s">
        <v>471</v>
      </c>
      <c r="E5" s="245" t="s">
        <v>816</v>
      </c>
      <c r="F5" s="245" t="s">
        <v>496</v>
      </c>
      <c r="G5" s="370" t="s">
        <v>471</v>
      </c>
      <c r="H5" s="141" t="s">
        <v>841</v>
      </c>
      <c r="I5" s="543" t="s">
        <v>842</v>
      </c>
      <c r="J5" s="690"/>
      <c r="K5" s="682"/>
    </row>
    <row r="6" spans="1:14" ht="21.75" customHeight="1">
      <c r="A6" s="138"/>
      <c r="B6" s="138" t="s">
        <v>7</v>
      </c>
      <c r="C6" s="138"/>
      <c r="D6" s="244">
        <f ca="1">D7+D139+D189</f>
        <v>79505.296769999986</v>
      </c>
      <c r="E6" s="370">
        <f t="shared" ref="E6:K6" si="0">E7+E139+E189</f>
        <v>67127</v>
      </c>
      <c r="F6" s="370">
        <f t="shared" si="0"/>
        <v>12378.296770000001</v>
      </c>
      <c r="G6" s="370">
        <f t="shared" ref="G6" si="1">G7+G139+G189</f>
        <v>1022.862</v>
      </c>
      <c r="H6" s="370">
        <f t="shared" si="0"/>
        <v>1013.862</v>
      </c>
      <c r="I6" s="370">
        <f t="shared" ref="I6" si="2">I7+I139+I189</f>
        <v>9</v>
      </c>
      <c r="J6" s="545">
        <f ca="1">G6/D6*100</f>
        <v>0</v>
      </c>
      <c r="K6" s="370">
        <f t="shared" si="0"/>
        <v>0</v>
      </c>
    </row>
    <row r="7" spans="1:14" ht="25.5" customHeight="1">
      <c r="A7" s="241" t="s">
        <v>145</v>
      </c>
      <c r="B7" s="675" t="s">
        <v>828</v>
      </c>
      <c r="C7" s="676"/>
      <c r="D7" s="246">
        <f ca="1">D8+D34</f>
        <v>34226.148999999998</v>
      </c>
      <c r="E7" s="246">
        <f t="shared" ref="E7:H7" si="3">E8+E34</f>
        <v>29754</v>
      </c>
      <c r="F7" s="246">
        <f t="shared" si="3"/>
        <v>4472.1490000000003</v>
      </c>
      <c r="G7" s="246">
        <f t="shared" ref="G7" si="4">G8+G34</f>
        <v>1013.862</v>
      </c>
      <c r="H7" s="246">
        <f t="shared" si="3"/>
        <v>1013.862</v>
      </c>
      <c r="I7" s="246">
        <f>I8+I34</f>
        <v>0</v>
      </c>
      <c r="J7" s="545">
        <f ca="1">G7/D7*100</f>
        <v>0</v>
      </c>
      <c r="K7" s="242"/>
    </row>
    <row r="8" spans="1:14" ht="15.75">
      <c r="A8" s="544" t="s">
        <v>827</v>
      </c>
      <c r="B8" s="673" t="s">
        <v>815</v>
      </c>
      <c r="C8" s="674"/>
      <c r="D8" s="545">
        <f>D9+D12+D24+D26+D30</f>
        <v>4472.1490000000003</v>
      </c>
      <c r="E8" s="545">
        <f t="shared" ref="E8:H8" si="5">E9+E12+E24+E26+E30</f>
        <v>0</v>
      </c>
      <c r="F8" s="545">
        <f>F9+F12+F24+F26+F30</f>
        <v>4472.1490000000003</v>
      </c>
      <c r="G8" s="545">
        <f>G9+G12+G24+G26+G30</f>
        <v>0</v>
      </c>
      <c r="H8" s="545">
        <f t="shared" si="5"/>
        <v>0</v>
      </c>
      <c r="I8" s="545"/>
      <c r="J8" s="545">
        <f t="shared" ref="J8:J33" si="6">G8/D8*100</f>
        <v>0</v>
      </c>
      <c r="K8" s="546"/>
    </row>
    <row r="9" spans="1:14" s="476" customFormat="1" ht="45" customHeight="1">
      <c r="A9" s="494" t="s">
        <v>3</v>
      </c>
      <c r="B9" s="471" t="s">
        <v>459</v>
      </c>
      <c r="C9" s="472"/>
      <c r="D9" s="473">
        <f>SUM(D10:D11)</f>
        <v>25.266000000000076</v>
      </c>
      <c r="E9" s="473">
        <f t="shared" ref="E9:H9" si="7">SUM(E10:E11)</f>
        <v>0</v>
      </c>
      <c r="F9" s="473">
        <f t="shared" si="7"/>
        <v>25.266000000000076</v>
      </c>
      <c r="G9" s="248">
        <f t="shared" ref="G9:G34" si="8">H9+I9</f>
        <v>0</v>
      </c>
      <c r="H9" s="473">
        <f t="shared" si="7"/>
        <v>0</v>
      </c>
      <c r="I9" s="473"/>
      <c r="J9" s="555">
        <f t="shared" si="6"/>
        <v>0</v>
      </c>
      <c r="K9" s="475"/>
    </row>
    <row r="10" spans="1:14" ht="31.5">
      <c r="A10" s="145">
        <v>1</v>
      </c>
      <c r="B10" s="146" t="s">
        <v>779</v>
      </c>
      <c r="C10" s="469" t="s">
        <v>48</v>
      </c>
      <c r="D10" s="248">
        <f>F10</f>
        <v>25.07000000000005</v>
      </c>
      <c r="E10" s="248"/>
      <c r="F10" s="248">
        <f>sn!F9</f>
        <v>25.07000000000005</v>
      </c>
      <c r="G10" s="248">
        <f t="shared" si="8"/>
        <v>0</v>
      </c>
      <c r="H10" s="177"/>
      <c r="I10" s="177"/>
      <c r="J10" s="555">
        <f t="shared" si="6"/>
        <v>0</v>
      </c>
      <c r="K10" s="142"/>
    </row>
    <row r="11" spans="1:14" ht="21" customHeight="1">
      <c r="A11" s="145">
        <v>2</v>
      </c>
      <c r="B11" s="146" t="s">
        <v>780</v>
      </c>
      <c r="C11" s="469" t="s">
        <v>132</v>
      </c>
      <c r="D11" s="248">
        <f>F11</f>
        <v>0.19600000000002638</v>
      </c>
      <c r="E11" s="248"/>
      <c r="F11" s="248">
        <f>sn!F10</f>
        <v>0.19600000000002638</v>
      </c>
      <c r="G11" s="248">
        <f t="shared" si="8"/>
        <v>0</v>
      </c>
      <c r="H11" s="177"/>
      <c r="I11" s="177"/>
      <c r="J11" s="555">
        <f t="shared" si="6"/>
        <v>0</v>
      </c>
      <c r="K11" s="142"/>
    </row>
    <row r="12" spans="1:14" s="165" customFormat="1" ht="31.5">
      <c r="A12" s="514" t="s">
        <v>5</v>
      </c>
      <c r="B12" s="144" t="s">
        <v>441</v>
      </c>
      <c r="C12" s="515"/>
      <c r="D12" s="516">
        <f>SUM(D13:D23)</f>
        <v>1874.172</v>
      </c>
      <c r="E12" s="516">
        <f t="shared" ref="E12:H12" si="9">SUM(E13:E23)</f>
        <v>0</v>
      </c>
      <c r="F12" s="516">
        <f t="shared" si="9"/>
        <v>1874.172</v>
      </c>
      <c r="G12" s="248">
        <f t="shared" si="8"/>
        <v>0</v>
      </c>
      <c r="H12" s="516">
        <f t="shared" si="9"/>
        <v>0</v>
      </c>
      <c r="I12" s="516"/>
      <c r="J12" s="555">
        <f t="shared" si="6"/>
        <v>0</v>
      </c>
      <c r="K12" s="142"/>
    </row>
    <row r="13" spans="1:14" ht="15.75">
      <c r="A13" s="149">
        <v>1</v>
      </c>
      <c r="B13" s="150" t="s">
        <v>42</v>
      </c>
      <c r="C13" s="192" t="s">
        <v>42</v>
      </c>
      <c r="D13" s="249">
        <f>F13</f>
        <v>200</v>
      </c>
      <c r="E13" s="249"/>
      <c r="F13" s="249">
        <f>sn!F12</f>
        <v>200</v>
      </c>
      <c r="G13" s="248">
        <f t="shared" si="8"/>
        <v>0</v>
      </c>
      <c r="H13" s="179"/>
      <c r="I13" s="179"/>
      <c r="J13" s="555">
        <f t="shared" si="6"/>
        <v>0</v>
      </c>
      <c r="K13" s="151"/>
      <c r="L13" s="404"/>
      <c r="M13" s="405"/>
      <c r="N13" s="406"/>
    </row>
    <row r="14" spans="1:14" ht="15.75">
      <c r="A14" s="149">
        <v>2</v>
      </c>
      <c r="B14" s="152" t="s">
        <v>43</v>
      </c>
      <c r="C14" s="193" t="s">
        <v>43</v>
      </c>
      <c r="D14" s="249">
        <f t="shared" ref="D14:D23" si="10">F14</f>
        <v>67.199999999999989</v>
      </c>
      <c r="E14" s="249"/>
      <c r="F14" s="249">
        <f>sn!F13</f>
        <v>67.199999999999989</v>
      </c>
      <c r="G14" s="248">
        <f t="shared" si="8"/>
        <v>0</v>
      </c>
      <c r="H14" s="179"/>
      <c r="I14" s="179"/>
      <c r="J14" s="555">
        <f t="shared" si="6"/>
        <v>0</v>
      </c>
      <c r="K14" s="151"/>
      <c r="L14" s="404"/>
      <c r="M14" s="405"/>
      <c r="N14" s="406"/>
    </row>
    <row r="15" spans="1:14" ht="15.75">
      <c r="A15" s="149">
        <v>3</v>
      </c>
      <c r="B15" s="152" t="s">
        <v>44</v>
      </c>
      <c r="C15" s="193" t="s">
        <v>44</v>
      </c>
      <c r="D15" s="249">
        <f t="shared" si="10"/>
        <v>51.972000000000008</v>
      </c>
      <c r="E15" s="249"/>
      <c r="F15" s="249">
        <f>sn!F14</f>
        <v>51.972000000000008</v>
      </c>
      <c r="G15" s="248">
        <f t="shared" si="8"/>
        <v>0</v>
      </c>
      <c r="H15" s="179"/>
      <c r="I15" s="179"/>
      <c r="J15" s="555">
        <f t="shared" si="6"/>
        <v>0</v>
      </c>
      <c r="K15" s="151"/>
      <c r="L15" s="404"/>
      <c r="M15" s="405"/>
      <c r="N15" s="406"/>
    </row>
    <row r="16" spans="1:14" ht="15.75">
      <c r="A16" s="149">
        <v>4</v>
      </c>
      <c r="B16" s="150" t="s">
        <v>52</v>
      </c>
      <c r="C16" s="192" t="s">
        <v>52</v>
      </c>
      <c r="D16" s="249">
        <f t="shared" si="10"/>
        <v>55</v>
      </c>
      <c r="E16" s="249"/>
      <c r="F16" s="249">
        <f>sn!F15</f>
        <v>55</v>
      </c>
      <c r="G16" s="248">
        <f t="shared" si="8"/>
        <v>0</v>
      </c>
      <c r="H16" s="179"/>
      <c r="I16" s="179"/>
      <c r="J16" s="555">
        <f t="shared" si="6"/>
        <v>0</v>
      </c>
      <c r="K16" s="151"/>
      <c r="L16" s="404"/>
      <c r="M16" s="405"/>
      <c r="N16" s="406"/>
    </row>
    <row r="17" spans="1:14" ht="15.75">
      <c r="A17" s="149">
        <v>5</v>
      </c>
      <c r="B17" s="152" t="s">
        <v>51</v>
      </c>
      <c r="C17" s="193" t="s">
        <v>51</v>
      </c>
      <c r="D17" s="249">
        <f t="shared" si="10"/>
        <v>215</v>
      </c>
      <c r="E17" s="249"/>
      <c r="F17" s="249">
        <f>sn!F16</f>
        <v>215</v>
      </c>
      <c r="G17" s="248">
        <f t="shared" si="8"/>
        <v>0</v>
      </c>
      <c r="H17" s="179"/>
      <c r="I17" s="179"/>
      <c r="J17" s="555">
        <f t="shared" si="6"/>
        <v>0</v>
      </c>
      <c r="K17" s="151"/>
      <c r="L17" s="404"/>
      <c r="M17" s="405"/>
      <c r="N17" s="406"/>
    </row>
    <row r="18" spans="1:14" ht="15.75">
      <c r="A18" s="149">
        <v>6</v>
      </c>
      <c r="B18" s="152" t="s">
        <v>45</v>
      </c>
      <c r="C18" s="193" t="s">
        <v>45</v>
      </c>
      <c r="D18" s="249">
        <f t="shared" si="10"/>
        <v>200</v>
      </c>
      <c r="E18" s="249"/>
      <c r="F18" s="249">
        <f>sn!F17</f>
        <v>200</v>
      </c>
      <c r="G18" s="248">
        <f t="shared" si="8"/>
        <v>0</v>
      </c>
      <c r="H18" s="179"/>
      <c r="I18" s="179"/>
      <c r="J18" s="555">
        <f t="shared" si="6"/>
        <v>0</v>
      </c>
      <c r="K18" s="151"/>
      <c r="L18" s="404"/>
      <c r="M18" s="405"/>
      <c r="N18" s="406"/>
    </row>
    <row r="19" spans="1:14" ht="15.75">
      <c r="A19" s="149">
        <v>7</v>
      </c>
      <c r="B19" s="150" t="s">
        <v>46</v>
      </c>
      <c r="C19" s="192" t="s">
        <v>46</v>
      </c>
      <c r="D19" s="249">
        <f t="shared" si="10"/>
        <v>215</v>
      </c>
      <c r="E19" s="249"/>
      <c r="F19" s="249">
        <f>sn!F18</f>
        <v>215</v>
      </c>
      <c r="G19" s="248">
        <f t="shared" si="8"/>
        <v>0</v>
      </c>
      <c r="H19" s="179"/>
      <c r="I19" s="179"/>
      <c r="J19" s="555">
        <f t="shared" si="6"/>
        <v>0</v>
      </c>
      <c r="K19" s="151"/>
      <c r="L19" s="404"/>
      <c r="M19" s="405"/>
      <c r="N19" s="406"/>
    </row>
    <row r="20" spans="1:14" ht="15.75">
      <c r="A20" s="149">
        <v>8</v>
      </c>
      <c r="B20" s="152" t="s">
        <v>47</v>
      </c>
      <c r="C20" s="193" t="s">
        <v>47</v>
      </c>
      <c r="D20" s="249">
        <f t="shared" si="10"/>
        <v>255</v>
      </c>
      <c r="E20" s="249"/>
      <c r="F20" s="249">
        <f>sn!F19</f>
        <v>255</v>
      </c>
      <c r="G20" s="248">
        <f t="shared" si="8"/>
        <v>0</v>
      </c>
      <c r="H20" s="179"/>
      <c r="I20" s="179"/>
      <c r="J20" s="555">
        <f t="shared" si="6"/>
        <v>0</v>
      </c>
      <c r="K20" s="151"/>
      <c r="L20" s="404"/>
      <c r="M20" s="405"/>
      <c r="N20" s="406"/>
    </row>
    <row r="21" spans="1:14" ht="15.75">
      <c r="A21" s="149">
        <v>9</v>
      </c>
      <c r="B21" s="152" t="s">
        <v>48</v>
      </c>
      <c r="C21" s="193" t="s">
        <v>48</v>
      </c>
      <c r="D21" s="249">
        <f t="shared" si="10"/>
        <v>215</v>
      </c>
      <c r="E21" s="249"/>
      <c r="F21" s="249">
        <f>sn!F20</f>
        <v>215</v>
      </c>
      <c r="G21" s="248">
        <f t="shared" si="8"/>
        <v>0</v>
      </c>
      <c r="H21" s="179"/>
      <c r="I21" s="179"/>
      <c r="J21" s="555">
        <f t="shared" si="6"/>
        <v>0</v>
      </c>
      <c r="K21" s="151"/>
      <c r="L21" s="404"/>
      <c r="M21" s="405"/>
      <c r="N21" s="406"/>
    </row>
    <row r="22" spans="1:14" ht="15.75">
      <c r="A22" s="149">
        <v>10</v>
      </c>
      <c r="B22" s="150" t="s">
        <v>49</v>
      </c>
      <c r="C22" s="192" t="s">
        <v>49</v>
      </c>
      <c r="D22" s="249">
        <f t="shared" si="10"/>
        <v>200</v>
      </c>
      <c r="E22" s="249"/>
      <c r="F22" s="249">
        <f>sn!F21</f>
        <v>200</v>
      </c>
      <c r="G22" s="248">
        <f t="shared" si="8"/>
        <v>0</v>
      </c>
      <c r="H22" s="179"/>
      <c r="I22" s="179"/>
      <c r="J22" s="555">
        <f t="shared" si="6"/>
        <v>0</v>
      </c>
      <c r="K22" s="151"/>
      <c r="L22" s="404"/>
      <c r="M22" s="405"/>
      <c r="N22" s="406"/>
    </row>
    <row r="23" spans="1:14" ht="15.75">
      <c r="A23" s="149">
        <v>11</v>
      </c>
      <c r="B23" s="152" t="s">
        <v>50</v>
      </c>
      <c r="C23" s="193" t="s">
        <v>50</v>
      </c>
      <c r="D23" s="249">
        <f t="shared" si="10"/>
        <v>200</v>
      </c>
      <c r="E23" s="249"/>
      <c r="F23" s="249">
        <f>sn!F22</f>
        <v>200</v>
      </c>
      <c r="G23" s="248">
        <f t="shared" si="8"/>
        <v>0</v>
      </c>
      <c r="H23" s="179"/>
      <c r="I23" s="179"/>
      <c r="J23" s="555">
        <f t="shared" si="6"/>
        <v>0</v>
      </c>
      <c r="K23" s="151"/>
      <c r="L23" s="404"/>
      <c r="M23" s="405"/>
      <c r="N23" s="406"/>
    </row>
    <row r="24" spans="1:14" ht="31.5">
      <c r="A24" s="143" t="s">
        <v>13</v>
      </c>
      <c r="B24" s="144" t="s">
        <v>442</v>
      </c>
      <c r="C24" s="190"/>
      <c r="D24" s="247">
        <f>D25</f>
        <v>981</v>
      </c>
      <c r="E24" s="247">
        <f t="shared" ref="E24:H24" si="11">E25</f>
        <v>0</v>
      </c>
      <c r="F24" s="247">
        <f t="shared" si="11"/>
        <v>981</v>
      </c>
      <c r="G24" s="248">
        <f t="shared" si="8"/>
        <v>0</v>
      </c>
      <c r="H24" s="247">
        <f t="shared" si="11"/>
        <v>0</v>
      </c>
      <c r="I24" s="247"/>
      <c r="J24" s="555">
        <f t="shared" si="6"/>
        <v>0</v>
      </c>
      <c r="K24" s="142"/>
    </row>
    <row r="25" spans="1:14" ht="25.5">
      <c r="A25" s="468" t="s">
        <v>29</v>
      </c>
      <c r="B25" s="418" t="s">
        <v>444</v>
      </c>
      <c r="C25" s="419" t="s">
        <v>782</v>
      </c>
      <c r="D25" s="249">
        <f>F25</f>
        <v>981</v>
      </c>
      <c r="E25" s="247"/>
      <c r="F25" s="249">
        <v>981</v>
      </c>
      <c r="G25" s="248">
        <f t="shared" si="8"/>
        <v>0</v>
      </c>
      <c r="H25" s="177"/>
      <c r="I25" s="177"/>
      <c r="J25" s="555">
        <f t="shared" si="6"/>
        <v>0</v>
      </c>
      <c r="K25" s="142"/>
    </row>
    <row r="26" spans="1:14" s="476" customFormat="1" ht="35.25" customHeight="1">
      <c r="A26" s="470" t="s">
        <v>14</v>
      </c>
      <c r="B26" s="471" t="s">
        <v>445</v>
      </c>
      <c r="C26" s="472"/>
      <c r="D26" s="473">
        <f>SUM(D27:D29)</f>
        <v>1444.75</v>
      </c>
      <c r="E26" s="473">
        <f t="shared" ref="E26:H26" si="12">SUM(E27:E29)</f>
        <v>0</v>
      </c>
      <c r="F26" s="473">
        <f t="shared" si="12"/>
        <v>1444.75</v>
      </c>
      <c r="G26" s="248">
        <f t="shared" si="8"/>
        <v>0</v>
      </c>
      <c r="H26" s="473">
        <f t="shared" si="12"/>
        <v>0</v>
      </c>
      <c r="I26" s="473"/>
      <c r="J26" s="555">
        <f t="shared" si="6"/>
        <v>0</v>
      </c>
      <c r="K26" s="475"/>
    </row>
    <row r="27" spans="1:14" s="476" customFormat="1" ht="36" customHeight="1">
      <c r="A27" s="511">
        <v>1</v>
      </c>
      <c r="B27" s="512" t="s">
        <v>783</v>
      </c>
      <c r="C27" s="513" t="s">
        <v>784</v>
      </c>
      <c r="D27" s="491">
        <f>F27</f>
        <v>1005.75</v>
      </c>
      <c r="E27" s="491"/>
      <c r="F27" s="491">
        <f>sn!F26</f>
        <v>1005.75</v>
      </c>
      <c r="G27" s="248">
        <f t="shared" si="8"/>
        <v>0</v>
      </c>
      <c r="H27" s="474"/>
      <c r="I27" s="474"/>
      <c r="J27" s="555">
        <f t="shared" si="6"/>
        <v>0</v>
      </c>
      <c r="K27" s="475"/>
    </row>
    <row r="28" spans="1:14" s="476" customFormat="1" ht="17.25" customHeight="1">
      <c r="A28" s="511">
        <v>2</v>
      </c>
      <c r="B28" s="512" t="s">
        <v>785</v>
      </c>
      <c r="C28" s="679" t="s">
        <v>786</v>
      </c>
      <c r="D28" s="491">
        <f t="shared" ref="D28:D29" si="13">F28</f>
        <v>259</v>
      </c>
      <c r="E28" s="491"/>
      <c r="F28" s="491">
        <f>sn!F27</f>
        <v>259</v>
      </c>
      <c r="G28" s="248">
        <f t="shared" si="8"/>
        <v>0</v>
      </c>
      <c r="H28" s="474"/>
      <c r="I28" s="474"/>
      <c r="J28" s="555">
        <f t="shared" si="6"/>
        <v>0</v>
      </c>
      <c r="K28" s="475"/>
    </row>
    <row r="29" spans="1:14" s="476" customFormat="1" ht="17.25" customHeight="1">
      <c r="A29" s="511">
        <v>3</v>
      </c>
      <c r="B29" s="512" t="s">
        <v>787</v>
      </c>
      <c r="C29" s="680"/>
      <c r="D29" s="491">
        <f t="shared" si="13"/>
        <v>180</v>
      </c>
      <c r="E29" s="491"/>
      <c r="F29" s="491">
        <f>sn!F28</f>
        <v>180</v>
      </c>
      <c r="G29" s="248">
        <f t="shared" si="8"/>
        <v>0</v>
      </c>
      <c r="H29" s="474"/>
      <c r="I29" s="474"/>
      <c r="J29" s="555">
        <f t="shared" si="6"/>
        <v>0</v>
      </c>
      <c r="K29" s="475"/>
    </row>
    <row r="30" spans="1:14" ht="31.5">
      <c r="A30" s="158" t="s">
        <v>16</v>
      </c>
      <c r="B30" s="159" t="s">
        <v>456</v>
      </c>
      <c r="C30" s="195"/>
      <c r="D30" s="247">
        <f>SUM(D31:D33)</f>
        <v>146.96099999999998</v>
      </c>
      <c r="E30" s="247">
        <f t="shared" ref="E30:H30" si="14">SUM(E31:E33)</f>
        <v>0</v>
      </c>
      <c r="F30" s="247">
        <f t="shared" si="14"/>
        <v>146.96099999999998</v>
      </c>
      <c r="G30" s="248">
        <f t="shared" si="8"/>
        <v>0</v>
      </c>
      <c r="H30" s="247">
        <f t="shared" si="14"/>
        <v>0</v>
      </c>
      <c r="I30" s="247"/>
      <c r="J30" s="555">
        <f t="shared" si="6"/>
        <v>0</v>
      </c>
      <c r="K30" s="142"/>
    </row>
    <row r="31" spans="1:14" ht="15.75">
      <c r="A31" s="153">
        <v>1</v>
      </c>
      <c r="B31" s="152" t="s">
        <v>41</v>
      </c>
      <c r="C31" s="193" t="s">
        <v>148</v>
      </c>
      <c r="D31" s="249">
        <f>F31</f>
        <v>122.35</v>
      </c>
      <c r="E31" s="249"/>
      <c r="F31" s="249">
        <f>sn!F30</f>
        <v>122.35</v>
      </c>
      <c r="G31" s="248">
        <f t="shared" si="8"/>
        <v>0</v>
      </c>
      <c r="H31" s="179"/>
      <c r="I31" s="179"/>
      <c r="J31" s="555">
        <f t="shared" si="6"/>
        <v>0</v>
      </c>
      <c r="K31" s="151"/>
    </row>
    <row r="32" spans="1:14" ht="15.75">
      <c r="A32" s="153">
        <v>2</v>
      </c>
      <c r="B32" s="152" t="s">
        <v>47</v>
      </c>
      <c r="C32" s="193" t="s">
        <v>47</v>
      </c>
      <c r="D32" s="249">
        <f t="shared" ref="D32:D33" si="15">F32</f>
        <v>8.8859999999999992</v>
      </c>
      <c r="E32" s="249"/>
      <c r="F32" s="249">
        <f>sn!F31</f>
        <v>8.8859999999999992</v>
      </c>
      <c r="G32" s="248">
        <f t="shared" si="8"/>
        <v>0</v>
      </c>
      <c r="H32" s="179"/>
      <c r="I32" s="179"/>
      <c r="J32" s="555">
        <f t="shared" si="6"/>
        <v>0</v>
      </c>
      <c r="K32" s="151"/>
    </row>
    <row r="33" spans="1:14" ht="15.75">
      <c r="A33" s="153">
        <v>3</v>
      </c>
      <c r="B33" s="152" t="s">
        <v>48</v>
      </c>
      <c r="C33" s="193" t="s">
        <v>48</v>
      </c>
      <c r="D33" s="249">
        <f t="shared" si="15"/>
        <v>15.725</v>
      </c>
      <c r="E33" s="249"/>
      <c r="F33" s="249">
        <f>sn!F32</f>
        <v>15.725</v>
      </c>
      <c r="G33" s="248">
        <f t="shared" si="8"/>
        <v>0</v>
      </c>
      <c r="H33" s="179"/>
      <c r="I33" s="179"/>
      <c r="J33" s="555">
        <f t="shared" si="6"/>
        <v>0</v>
      </c>
      <c r="K33" s="151"/>
    </row>
    <row r="34" spans="1:14" ht="15.75">
      <c r="A34" s="544" t="s">
        <v>829</v>
      </c>
      <c r="B34" s="673" t="s">
        <v>830</v>
      </c>
      <c r="C34" s="674"/>
      <c r="D34" s="545">
        <f ca="1">D35+D40+D52+D66+D74+D86+D113</f>
        <v>29754</v>
      </c>
      <c r="E34" s="545">
        <f>E35+E40+E52+E66+E74+E86+E113</f>
        <v>29754</v>
      </c>
      <c r="F34" s="545">
        <f t="shared" ref="F34:H34" si="16">F35+F40+F52+F66+F74+F86+F113</f>
        <v>0</v>
      </c>
      <c r="G34" s="248">
        <f t="shared" si="8"/>
        <v>1013.862</v>
      </c>
      <c r="H34" s="545">
        <f t="shared" si="16"/>
        <v>1013.862</v>
      </c>
      <c r="I34" s="545"/>
      <c r="J34" s="555">
        <f ca="1">G34/D34*100</f>
        <v>24.013784936049266</v>
      </c>
      <c r="K34" s="546"/>
    </row>
    <row r="35" spans="1:14" ht="39.75" customHeight="1">
      <c r="A35" s="143" t="s">
        <v>3</v>
      </c>
      <c r="B35" s="144" t="s">
        <v>459</v>
      </c>
      <c r="C35" s="190"/>
      <c r="D35" s="247">
        <f>SUM(D36:D39)</f>
        <v>4222</v>
      </c>
      <c r="E35" s="247">
        <f>SUM(E36:E39)</f>
        <v>4222</v>
      </c>
      <c r="F35" s="247">
        <f t="shared" ref="F35" si="17">SUM(F36:F39)</f>
        <v>0</v>
      </c>
      <c r="G35" s="248">
        <f>H35+I35</f>
        <v>1013.862</v>
      </c>
      <c r="H35" s="247">
        <f>SUM(H36:H39)</f>
        <v>1013.862</v>
      </c>
      <c r="I35" s="247"/>
      <c r="J35" s="555">
        <f>G35/D35*100</f>
        <v>24.013784936049266</v>
      </c>
      <c r="K35" s="142"/>
    </row>
    <row r="36" spans="1:14" ht="31.5">
      <c r="A36" s="145">
        <v>1</v>
      </c>
      <c r="B36" s="146" t="s">
        <v>437</v>
      </c>
      <c r="C36" s="191" t="s">
        <v>17</v>
      </c>
      <c r="D36" s="248">
        <f>E36+F36</f>
        <v>1072</v>
      </c>
      <c r="E36" s="248">
        <v>1072</v>
      </c>
      <c r="F36" s="248"/>
      <c r="G36" s="248">
        <f t="shared" ref="G36:G74" si="18">H36+I36</f>
        <v>0</v>
      </c>
      <c r="H36" s="178"/>
      <c r="I36" s="178"/>
      <c r="J36" s="555">
        <f t="shared" ref="J36:J39" si="19">G36/D36*100</f>
        <v>0</v>
      </c>
      <c r="K36" s="147"/>
    </row>
    <row r="37" spans="1:14" ht="31.5">
      <c r="A37" s="145">
        <v>2</v>
      </c>
      <c r="B37" s="148" t="s">
        <v>438</v>
      </c>
      <c r="C37" s="191" t="s">
        <v>19</v>
      </c>
      <c r="D37" s="248">
        <f t="shared" ref="D37:D39" si="20">E37+F37</f>
        <v>1100</v>
      </c>
      <c r="E37" s="248">
        <v>1100</v>
      </c>
      <c r="F37" s="248"/>
      <c r="G37" s="248">
        <f t="shared" si="18"/>
        <v>0</v>
      </c>
      <c r="H37" s="178"/>
      <c r="I37" s="178"/>
      <c r="J37" s="555">
        <f t="shared" si="19"/>
        <v>0</v>
      </c>
      <c r="K37" s="147"/>
    </row>
    <row r="38" spans="1:14" ht="31.5">
      <c r="A38" s="145">
        <v>3</v>
      </c>
      <c r="B38" s="148" t="s">
        <v>439</v>
      </c>
      <c r="C38" s="191" t="s">
        <v>21</v>
      </c>
      <c r="D38" s="248">
        <f t="shared" si="20"/>
        <v>1000</v>
      </c>
      <c r="E38" s="248">
        <v>1000</v>
      </c>
      <c r="F38" s="248"/>
      <c r="G38" s="248">
        <f t="shared" si="18"/>
        <v>0</v>
      </c>
      <c r="H38" s="178"/>
      <c r="I38" s="178"/>
      <c r="J38" s="555">
        <f t="shared" si="19"/>
        <v>0</v>
      </c>
      <c r="K38" s="147"/>
    </row>
    <row r="39" spans="1:14" ht="31.5">
      <c r="A39" s="145">
        <v>4</v>
      </c>
      <c r="B39" s="148" t="s">
        <v>440</v>
      </c>
      <c r="C39" s="191" t="s">
        <v>101</v>
      </c>
      <c r="D39" s="248">
        <f t="shared" si="20"/>
        <v>1050</v>
      </c>
      <c r="E39" s="248">
        <v>1050</v>
      </c>
      <c r="F39" s="248"/>
      <c r="G39" s="248">
        <f t="shared" si="18"/>
        <v>1013.862</v>
      </c>
      <c r="H39" s="178">
        <v>1013.862</v>
      </c>
      <c r="I39" s="178"/>
      <c r="J39" s="555">
        <f t="shared" si="19"/>
        <v>96.558285714285702</v>
      </c>
      <c r="K39" s="147"/>
    </row>
    <row r="40" spans="1:14" ht="31.5">
      <c r="A40" s="143" t="s">
        <v>5</v>
      </c>
      <c r="B40" s="144" t="s">
        <v>441</v>
      </c>
      <c r="C40" s="190"/>
      <c r="D40" s="247">
        <f t="shared" ref="D40:D65" ca="1" si="21">SUM(E40:K40)</f>
        <v>5831</v>
      </c>
      <c r="E40" s="247">
        <f t="shared" ref="E40" si="22">SUM(E41:E51)</f>
        <v>5831</v>
      </c>
      <c r="F40" s="247"/>
      <c r="G40" s="248">
        <f t="shared" si="18"/>
        <v>0</v>
      </c>
      <c r="H40" s="177"/>
      <c r="I40" s="177"/>
      <c r="J40" s="555">
        <f ca="1">G40/D40*100</f>
        <v>0</v>
      </c>
      <c r="K40" s="142"/>
    </row>
    <row r="41" spans="1:14" ht="15.75">
      <c r="A41" s="149">
        <v>1</v>
      </c>
      <c r="B41" s="150" t="s">
        <v>42</v>
      </c>
      <c r="C41" s="192" t="s">
        <v>42</v>
      </c>
      <c r="D41" s="249">
        <f t="shared" si="21"/>
        <v>473</v>
      </c>
      <c r="E41" s="249">
        <f>11*43</f>
        <v>473</v>
      </c>
      <c r="F41" s="249"/>
      <c r="G41" s="248">
        <f t="shared" si="18"/>
        <v>0</v>
      </c>
      <c r="H41" s="179"/>
      <c r="I41" s="179"/>
      <c r="J41" s="555"/>
      <c r="K41" s="151"/>
      <c r="L41" s="404"/>
      <c r="M41" s="405"/>
      <c r="N41" s="406"/>
    </row>
    <row r="42" spans="1:14" ht="15.75">
      <c r="A42" s="149">
        <v>2</v>
      </c>
      <c r="B42" s="152" t="s">
        <v>43</v>
      </c>
      <c r="C42" s="193" t="s">
        <v>43</v>
      </c>
      <c r="D42" s="249">
        <f t="shared" si="21"/>
        <v>374</v>
      </c>
      <c r="E42" s="249">
        <f>34*11</f>
        <v>374</v>
      </c>
      <c r="F42" s="249"/>
      <c r="G42" s="248">
        <f t="shared" si="18"/>
        <v>0</v>
      </c>
      <c r="H42" s="179"/>
      <c r="I42" s="179"/>
      <c r="J42" s="555"/>
      <c r="K42" s="151"/>
      <c r="L42" s="404"/>
      <c r="M42" s="405"/>
      <c r="N42" s="406"/>
    </row>
    <row r="43" spans="1:14" ht="15.75">
      <c r="A43" s="149">
        <v>3</v>
      </c>
      <c r="B43" s="152" t="s">
        <v>44</v>
      </c>
      <c r="C43" s="193" t="s">
        <v>44</v>
      </c>
      <c r="D43" s="249">
        <f t="shared" si="21"/>
        <v>561</v>
      </c>
      <c r="E43" s="249">
        <f>51*11</f>
        <v>561</v>
      </c>
      <c r="F43" s="249"/>
      <c r="G43" s="248">
        <f t="shared" si="18"/>
        <v>0</v>
      </c>
      <c r="H43" s="179"/>
      <c r="I43" s="179"/>
      <c r="J43" s="555"/>
      <c r="K43" s="151"/>
      <c r="L43" s="404"/>
      <c r="M43" s="405"/>
      <c r="N43" s="406"/>
    </row>
    <row r="44" spans="1:14" ht="15.75">
      <c r="A44" s="149">
        <v>4</v>
      </c>
      <c r="B44" s="152" t="s">
        <v>52</v>
      </c>
      <c r="C44" s="193" t="s">
        <v>52</v>
      </c>
      <c r="D44" s="249">
        <f t="shared" si="21"/>
        <v>341</v>
      </c>
      <c r="E44" s="249">
        <f>31*11</f>
        <v>341</v>
      </c>
      <c r="F44" s="249"/>
      <c r="G44" s="248">
        <f t="shared" si="18"/>
        <v>0</v>
      </c>
      <c r="H44" s="179"/>
      <c r="I44" s="179"/>
      <c r="J44" s="555"/>
      <c r="K44" s="151"/>
    </row>
    <row r="45" spans="1:14" ht="15.75">
      <c r="A45" s="149">
        <v>5</v>
      </c>
      <c r="B45" s="152" t="s">
        <v>51</v>
      </c>
      <c r="C45" s="193" t="s">
        <v>51</v>
      </c>
      <c r="D45" s="249">
        <f t="shared" si="21"/>
        <v>696</v>
      </c>
      <c r="E45" s="249">
        <f>45*11+201</f>
        <v>696</v>
      </c>
      <c r="F45" s="249"/>
      <c r="G45" s="248">
        <f t="shared" si="18"/>
        <v>0</v>
      </c>
      <c r="H45" s="179"/>
      <c r="I45" s="179"/>
      <c r="J45" s="555"/>
      <c r="K45" s="151"/>
    </row>
    <row r="46" spans="1:14" ht="15.75">
      <c r="A46" s="149">
        <v>6</v>
      </c>
      <c r="B46" s="152" t="s">
        <v>45</v>
      </c>
      <c r="C46" s="193" t="s">
        <v>45</v>
      </c>
      <c r="D46" s="249">
        <f t="shared" si="21"/>
        <v>462</v>
      </c>
      <c r="E46" s="249">
        <f>42*11</f>
        <v>462</v>
      </c>
      <c r="F46" s="249"/>
      <c r="G46" s="248">
        <f t="shared" si="18"/>
        <v>0</v>
      </c>
      <c r="H46" s="179"/>
      <c r="I46" s="179"/>
      <c r="J46" s="555"/>
      <c r="K46" s="151"/>
    </row>
    <row r="47" spans="1:14" ht="15.75">
      <c r="A47" s="149">
        <v>7</v>
      </c>
      <c r="B47" s="152" t="s">
        <v>46</v>
      </c>
      <c r="C47" s="193" t="s">
        <v>46</v>
      </c>
      <c r="D47" s="249">
        <f t="shared" si="21"/>
        <v>630</v>
      </c>
      <c r="E47" s="249">
        <f>39*11+201</f>
        <v>630</v>
      </c>
      <c r="F47" s="249"/>
      <c r="G47" s="248">
        <f t="shared" si="18"/>
        <v>0</v>
      </c>
      <c r="H47" s="179"/>
      <c r="I47" s="179"/>
      <c r="J47" s="555"/>
      <c r="K47" s="151"/>
    </row>
    <row r="48" spans="1:14" ht="15.75">
      <c r="A48" s="149">
        <v>8</v>
      </c>
      <c r="B48" s="152" t="s">
        <v>47</v>
      </c>
      <c r="C48" s="193" t="s">
        <v>47</v>
      </c>
      <c r="D48" s="249">
        <f t="shared" si="21"/>
        <v>817</v>
      </c>
      <c r="E48" s="249">
        <f>56*11+201</f>
        <v>817</v>
      </c>
      <c r="F48" s="249"/>
      <c r="G48" s="248">
        <f t="shared" si="18"/>
        <v>0</v>
      </c>
      <c r="H48" s="179"/>
      <c r="I48" s="179"/>
      <c r="J48" s="555"/>
      <c r="K48" s="151"/>
    </row>
    <row r="49" spans="1:11" ht="15.75">
      <c r="A49" s="149">
        <v>9</v>
      </c>
      <c r="B49" s="152" t="s">
        <v>48</v>
      </c>
      <c r="C49" s="193" t="s">
        <v>48</v>
      </c>
      <c r="D49" s="249">
        <f t="shared" si="21"/>
        <v>641</v>
      </c>
      <c r="E49" s="249">
        <f>40*11+201</f>
        <v>641</v>
      </c>
      <c r="F49" s="249"/>
      <c r="G49" s="248">
        <f t="shared" si="18"/>
        <v>0</v>
      </c>
      <c r="H49" s="179"/>
      <c r="I49" s="179"/>
      <c r="J49" s="555"/>
      <c r="K49" s="151"/>
    </row>
    <row r="50" spans="1:11" ht="15.75">
      <c r="A50" s="149">
        <v>10</v>
      </c>
      <c r="B50" s="152" t="s">
        <v>49</v>
      </c>
      <c r="C50" s="193" t="s">
        <v>49</v>
      </c>
      <c r="D50" s="249">
        <f t="shared" si="21"/>
        <v>341</v>
      </c>
      <c r="E50" s="249">
        <f>31*11</f>
        <v>341</v>
      </c>
      <c r="F50" s="249"/>
      <c r="G50" s="248">
        <f t="shared" si="18"/>
        <v>0</v>
      </c>
      <c r="H50" s="179"/>
      <c r="I50" s="179"/>
      <c r="J50" s="555"/>
      <c r="K50" s="151"/>
    </row>
    <row r="51" spans="1:11" ht="15.75">
      <c r="A51" s="149">
        <v>11</v>
      </c>
      <c r="B51" s="152" t="s">
        <v>50</v>
      </c>
      <c r="C51" s="193" t="s">
        <v>50</v>
      </c>
      <c r="D51" s="249">
        <f t="shared" si="21"/>
        <v>495</v>
      </c>
      <c r="E51" s="249">
        <f>45*11</f>
        <v>495</v>
      </c>
      <c r="F51" s="249"/>
      <c r="G51" s="248">
        <f t="shared" si="18"/>
        <v>0</v>
      </c>
      <c r="H51" s="179"/>
      <c r="I51" s="179"/>
      <c r="J51" s="555"/>
      <c r="K51" s="151"/>
    </row>
    <row r="52" spans="1:11" ht="31.5">
      <c r="A52" s="143" t="s">
        <v>13</v>
      </c>
      <c r="B52" s="144" t="s">
        <v>442</v>
      </c>
      <c r="C52" s="190"/>
      <c r="D52" s="247">
        <f t="shared" si="21"/>
        <v>3482</v>
      </c>
      <c r="E52" s="247">
        <f t="shared" ref="E52" si="23">E53</f>
        <v>3482</v>
      </c>
      <c r="F52" s="247"/>
      <c r="G52" s="248">
        <f t="shared" si="18"/>
        <v>0</v>
      </c>
      <c r="H52" s="177"/>
      <c r="I52" s="177"/>
      <c r="J52" s="555"/>
      <c r="K52" s="142"/>
    </row>
    <row r="53" spans="1:11" s="229" customFormat="1" ht="31.5">
      <c r="A53" s="224">
        <v>1</v>
      </c>
      <c r="B53" s="225" t="s">
        <v>443</v>
      </c>
      <c r="C53" s="226"/>
      <c r="D53" s="250">
        <f>SUM(E53:K53)</f>
        <v>3482</v>
      </c>
      <c r="E53" s="250">
        <f>SUM(E54:E65)</f>
        <v>3482</v>
      </c>
      <c r="F53" s="250"/>
      <c r="G53" s="248">
        <f t="shared" si="18"/>
        <v>0</v>
      </c>
      <c r="H53" s="227"/>
      <c r="I53" s="227"/>
      <c r="J53" s="555"/>
      <c r="K53" s="228"/>
    </row>
    <row r="54" spans="1:11" ht="30">
      <c r="A54" s="153" t="s">
        <v>36</v>
      </c>
      <c r="B54" s="152" t="s">
        <v>444</v>
      </c>
      <c r="C54" s="193" t="s">
        <v>444</v>
      </c>
      <c r="D54" s="249">
        <f t="shared" si="21"/>
        <v>67</v>
      </c>
      <c r="E54" s="249">
        <v>67</v>
      </c>
      <c r="F54" s="249"/>
      <c r="G54" s="248">
        <f t="shared" si="18"/>
        <v>0</v>
      </c>
      <c r="H54" s="179"/>
      <c r="I54" s="179"/>
      <c r="J54" s="555"/>
      <c r="K54" s="151"/>
    </row>
    <row r="55" spans="1:11" ht="15.75">
      <c r="A55" s="153" t="s">
        <v>57</v>
      </c>
      <c r="B55" s="150" t="s">
        <v>42</v>
      </c>
      <c r="C55" s="192" t="s">
        <v>42</v>
      </c>
      <c r="D55" s="249">
        <f t="shared" si="21"/>
        <v>301</v>
      </c>
      <c r="E55" s="249">
        <f>43*7</f>
        <v>301</v>
      </c>
      <c r="F55" s="249"/>
      <c r="G55" s="248">
        <f t="shared" si="18"/>
        <v>0</v>
      </c>
      <c r="H55" s="179"/>
      <c r="I55" s="179"/>
      <c r="J55" s="555"/>
      <c r="K55" s="151"/>
    </row>
    <row r="56" spans="1:11" ht="15.75">
      <c r="A56" s="153" t="s">
        <v>58</v>
      </c>
      <c r="B56" s="152" t="s">
        <v>43</v>
      </c>
      <c r="C56" s="193" t="s">
        <v>43</v>
      </c>
      <c r="D56" s="249">
        <f t="shared" si="21"/>
        <v>238</v>
      </c>
      <c r="E56" s="249">
        <f>34*7</f>
        <v>238</v>
      </c>
      <c r="F56" s="249"/>
      <c r="G56" s="248">
        <f t="shared" si="18"/>
        <v>0</v>
      </c>
      <c r="H56" s="179"/>
      <c r="I56" s="179"/>
      <c r="J56" s="555"/>
      <c r="K56" s="151"/>
    </row>
    <row r="57" spans="1:11" ht="15.75">
      <c r="A57" s="153" t="s">
        <v>59</v>
      </c>
      <c r="B57" s="152" t="s">
        <v>44</v>
      </c>
      <c r="C57" s="193" t="s">
        <v>44</v>
      </c>
      <c r="D57" s="249">
        <f t="shared" si="21"/>
        <v>357</v>
      </c>
      <c r="E57" s="249">
        <f>51*7</f>
        <v>357</v>
      </c>
      <c r="F57" s="249"/>
      <c r="G57" s="248">
        <f t="shared" si="18"/>
        <v>0</v>
      </c>
      <c r="H57" s="179"/>
      <c r="I57" s="179"/>
      <c r="J57" s="555"/>
      <c r="K57" s="151"/>
    </row>
    <row r="58" spans="1:11" ht="15.75">
      <c r="A58" s="153" t="s">
        <v>60</v>
      </c>
      <c r="B58" s="152" t="s">
        <v>52</v>
      </c>
      <c r="C58" s="193" t="s">
        <v>52</v>
      </c>
      <c r="D58" s="249">
        <f t="shared" si="21"/>
        <v>217</v>
      </c>
      <c r="E58" s="249">
        <f>31*7</f>
        <v>217</v>
      </c>
      <c r="F58" s="249"/>
      <c r="G58" s="248">
        <f t="shared" si="18"/>
        <v>0</v>
      </c>
      <c r="H58" s="179"/>
      <c r="I58" s="179"/>
      <c r="J58" s="555"/>
      <c r="K58" s="151"/>
    </row>
    <row r="59" spans="1:11" ht="15.75">
      <c r="A59" s="153" t="s">
        <v>110</v>
      </c>
      <c r="B59" s="152" t="s">
        <v>51</v>
      </c>
      <c r="C59" s="193" t="s">
        <v>51</v>
      </c>
      <c r="D59" s="249">
        <f t="shared" si="21"/>
        <v>369</v>
      </c>
      <c r="E59" s="249">
        <f>45*7+54</f>
        <v>369</v>
      </c>
      <c r="F59" s="249"/>
      <c r="G59" s="248">
        <f t="shared" si="18"/>
        <v>0</v>
      </c>
      <c r="H59" s="179"/>
      <c r="I59" s="179"/>
      <c r="J59" s="555"/>
      <c r="K59" s="151"/>
    </row>
    <row r="60" spans="1:11" ht="15.75">
      <c r="A60" s="153" t="s">
        <v>111</v>
      </c>
      <c r="B60" s="152" t="s">
        <v>45</v>
      </c>
      <c r="C60" s="193" t="s">
        <v>45</v>
      </c>
      <c r="D60" s="249">
        <f t="shared" si="21"/>
        <v>294</v>
      </c>
      <c r="E60" s="249">
        <f>42*7</f>
        <v>294</v>
      </c>
      <c r="F60" s="249"/>
      <c r="G60" s="248">
        <f t="shared" si="18"/>
        <v>0</v>
      </c>
      <c r="H60" s="179"/>
      <c r="I60" s="179"/>
      <c r="J60" s="555"/>
      <c r="K60" s="151"/>
    </row>
    <row r="61" spans="1:11" ht="15.75">
      <c r="A61" s="153" t="s">
        <v>112</v>
      </c>
      <c r="B61" s="152" t="s">
        <v>46</v>
      </c>
      <c r="C61" s="193" t="s">
        <v>46</v>
      </c>
      <c r="D61" s="249">
        <f t="shared" si="21"/>
        <v>327</v>
      </c>
      <c r="E61" s="249">
        <f>39*7+54</f>
        <v>327</v>
      </c>
      <c r="F61" s="249"/>
      <c r="G61" s="248">
        <f t="shared" si="18"/>
        <v>0</v>
      </c>
      <c r="H61" s="179"/>
      <c r="I61" s="179"/>
      <c r="J61" s="555"/>
      <c r="K61" s="151"/>
    </row>
    <row r="62" spans="1:11" ht="15.75">
      <c r="A62" s="153" t="s">
        <v>113</v>
      </c>
      <c r="B62" s="152" t="s">
        <v>47</v>
      </c>
      <c r="C62" s="193" t="s">
        <v>47</v>
      </c>
      <c r="D62" s="249">
        <f t="shared" si="21"/>
        <v>446</v>
      </c>
      <c r="E62" s="249">
        <f>56*7+54</f>
        <v>446</v>
      </c>
      <c r="F62" s="249"/>
      <c r="G62" s="248">
        <f t="shared" si="18"/>
        <v>0</v>
      </c>
      <c r="H62" s="179"/>
      <c r="I62" s="179"/>
      <c r="J62" s="555"/>
      <c r="K62" s="151"/>
    </row>
    <row r="63" spans="1:11" ht="15.75">
      <c r="A63" s="153" t="s">
        <v>114</v>
      </c>
      <c r="B63" s="152" t="s">
        <v>48</v>
      </c>
      <c r="C63" s="193" t="s">
        <v>48</v>
      </c>
      <c r="D63" s="249">
        <f t="shared" si="21"/>
        <v>334</v>
      </c>
      <c r="E63" s="249">
        <f>40*7+54</f>
        <v>334</v>
      </c>
      <c r="F63" s="249"/>
      <c r="G63" s="248">
        <f t="shared" si="18"/>
        <v>0</v>
      </c>
      <c r="H63" s="179"/>
      <c r="I63" s="179"/>
      <c r="J63" s="555"/>
      <c r="K63" s="151"/>
    </row>
    <row r="64" spans="1:11" ht="15.75">
      <c r="A64" s="153" t="s">
        <v>115</v>
      </c>
      <c r="B64" s="152" t="s">
        <v>49</v>
      </c>
      <c r="C64" s="193" t="s">
        <v>49</v>
      </c>
      <c r="D64" s="249">
        <f t="shared" si="21"/>
        <v>217</v>
      </c>
      <c r="E64" s="249">
        <f>31*7</f>
        <v>217</v>
      </c>
      <c r="F64" s="249"/>
      <c r="G64" s="248">
        <f t="shared" si="18"/>
        <v>0</v>
      </c>
      <c r="H64" s="179"/>
      <c r="I64" s="179"/>
      <c r="J64" s="555"/>
      <c r="K64" s="151"/>
    </row>
    <row r="65" spans="1:11" ht="15.75">
      <c r="A65" s="153" t="s">
        <v>116</v>
      </c>
      <c r="B65" s="152" t="s">
        <v>50</v>
      </c>
      <c r="C65" s="193" t="s">
        <v>50</v>
      </c>
      <c r="D65" s="249">
        <f t="shared" si="21"/>
        <v>315</v>
      </c>
      <c r="E65" s="249">
        <f>45*7</f>
        <v>315</v>
      </c>
      <c r="F65" s="249"/>
      <c r="G65" s="248">
        <f t="shared" si="18"/>
        <v>0</v>
      </c>
      <c r="H65" s="179"/>
      <c r="I65" s="179"/>
      <c r="J65" s="555"/>
      <c r="K65" s="151"/>
    </row>
    <row r="66" spans="1:11" ht="31.5">
      <c r="A66" s="143" t="s">
        <v>14</v>
      </c>
      <c r="B66" s="144" t="s">
        <v>445</v>
      </c>
      <c r="C66" s="190"/>
      <c r="D66" s="247">
        <f ca="1">D67+D70+D72</f>
        <v>3954</v>
      </c>
      <c r="E66" s="247">
        <f t="shared" ref="E66:H66" si="24">E67+E70+E72</f>
        <v>3954</v>
      </c>
      <c r="F66" s="247">
        <f t="shared" si="24"/>
        <v>0</v>
      </c>
      <c r="G66" s="248">
        <f t="shared" si="18"/>
        <v>0</v>
      </c>
      <c r="H66" s="247">
        <f t="shared" si="24"/>
        <v>0</v>
      </c>
      <c r="I66" s="247"/>
      <c r="J66" s="555"/>
      <c r="K66" s="142"/>
    </row>
    <row r="67" spans="1:11" s="229" customFormat="1" ht="31.5">
      <c r="A67" s="224">
        <v>1</v>
      </c>
      <c r="B67" s="225" t="s">
        <v>446</v>
      </c>
      <c r="C67" s="226"/>
      <c r="D67" s="250">
        <f>SUM(D68:D69)</f>
        <v>2771</v>
      </c>
      <c r="E67" s="250">
        <f>SUM(E68:E69)</f>
        <v>2771</v>
      </c>
      <c r="F67" s="250"/>
      <c r="G67" s="248">
        <f t="shared" si="18"/>
        <v>0</v>
      </c>
      <c r="H67" s="227"/>
      <c r="I67" s="227"/>
      <c r="J67" s="555">
        <f>G67/D67*100</f>
        <v>0</v>
      </c>
      <c r="K67" s="228"/>
    </row>
    <row r="68" spans="1:11" ht="30">
      <c r="A68" s="149" t="s">
        <v>74</v>
      </c>
      <c r="B68" s="154" t="s">
        <v>40</v>
      </c>
      <c r="C68" s="194" t="s">
        <v>40</v>
      </c>
      <c r="D68" s="249">
        <f>E68</f>
        <v>1561</v>
      </c>
      <c r="E68" s="249">
        <v>1561</v>
      </c>
      <c r="F68" s="249"/>
      <c r="G68" s="248">
        <f t="shared" si="18"/>
        <v>0</v>
      </c>
      <c r="H68" s="179"/>
      <c r="I68" s="179"/>
      <c r="J68" s="555">
        <f>G68/D68*100</f>
        <v>0</v>
      </c>
      <c r="K68" s="151"/>
    </row>
    <row r="69" spans="1:11" ht="15.75">
      <c r="A69" s="149" t="s">
        <v>80</v>
      </c>
      <c r="B69" s="155" t="s">
        <v>41</v>
      </c>
      <c r="C69" s="137" t="s">
        <v>148</v>
      </c>
      <c r="D69" s="249">
        <f>E69</f>
        <v>1210</v>
      </c>
      <c r="E69" s="249">
        <v>1210</v>
      </c>
      <c r="F69" s="249"/>
      <c r="G69" s="248">
        <f t="shared" si="18"/>
        <v>0</v>
      </c>
      <c r="H69" s="180"/>
      <c r="I69" s="180"/>
      <c r="J69" s="555"/>
      <c r="K69" s="156"/>
    </row>
    <row r="70" spans="1:11" s="229" customFormat="1" ht="31.5">
      <c r="A70" s="224" t="s">
        <v>57</v>
      </c>
      <c r="B70" s="225" t="s">
        <v>447</v>
      </c>
      <c r="C70" s="226"/>
      <c r="D70" s="250">
        <f>SUM(E70:K70)</f>
        <v>694</v>
      </c>
      <c r="E70" s="250">
        <f t="shared" ref="E70" si="25">SUM(E71:E71)</f>
        <v>694</v>
      </c>
      <c r="F70" s="250"/>
      <c r="G70" s="248">
        <f t="shared" si="18"/>
        <v>0</v>
      </c>
      <c r="H70" s="227"/>
      <c r="I70" s="227"/>
      <c r="J70" s="555"/>
      <c r="K70" s="228"/>
    </row>
    <row r="71" spans="1:11" ht="15.75">
      <c r="A71" s="140" t="s">
        <v>29</v>
      </c>
      <c r="B71" s="155" t="s">
        <v>41</v>
      </c>
      <c r="C71" s="137" t="s">
        <v>148</v>
      </c>
      <c r="D71" s="249">
        <f ca="1">SUM(E71:K71)</f>
        <v>694</v>
      </c>
      <c r="E71" s="249">
        <v>694</v>
      </c>
      <c r="F71" s="249"/>
      <c r="G71" s="248">
        <f t="shared" si="18"/>
        <v>0</v>
      </c>
      <c r="H71" s="180"/>
      <c r="I71" s="180"/>
      <c r="J71" s="555">
        <f ca="1">G71/D71*100</f>
        <v>0</v>
      </c>
      <c r="K71" s="156"/>
    </row>
    <row r="72" spans="1:11" s="229" customFormat="1" ht="19.5" customHeight="1">
      <c r="A72" s="224">
        <v>3</v>
      </c>
      <c r="B72" s="225" t="s">
        <v>448</v>
      </c>
      <c r="C72" s="226"/>
      <c r="D72" s="250">
        <f ca="1">SUM(E72:K72)</f>
        <v>489</v>
      </c>
      <c r="E72" s="250">
        <f>E73</f>
        <v>489</v>
      </c>
      <c r="F72" s="250"/>
      <c r="G72" s="248">
        <f t="shared" si="18"/>
        <v>0</v>
      </c>
      <c r="H72" s="227">
        <f t="shared" ref="H72" si="26">H73</f>
        <v>0</v>
      </c>
      <c r="I72" s="227"/>
      <c r="J72" s="555">
        <f ca="1">G72/D72*100</f>
        <v>0</v>
      </c>
      <c r="K72" s="228"/>
    </row>
    <row r="73" spans="1:11" ht="15.75">
      <c r="A73" s="149" t="s">
        <v>29</v>
      </c>
      <c r="B73" s="155" t="s">
        <v>41</v>
      </c>
      <c r="C73" s="137" t="s">
        <v>148</v>
      </c>
      <c r="D73" s="249">
        <f ca="1">SUM(E73:K73)</f>
        <v>489</v>
      </c>
      <c r="E73" s="249">
        <v>489</v>
      </c>
      <c r="F73" s="249"/>
      <c r="G73" s="248">
        <f t="shared" si="18"/>
        <v>0</v>
      </c>
      <c r="H73" s="179"/>
      <c r="I73" s="179"/>
      <c r="J73" s="555">
        <f ca="1">G73/D73*100</f>
        <v>0</v>
      </c>
      <c r="K73" s="151"/>
    </row>
    <row r="74" spans="1:11" ht="31.5">
      <c r="A74" s="143" t="s">
        <v>147</v>
      </c>
      <c r="B74" s="157" t="s">
        <v>449</v>
      </c>
      <c r="C74" s="137"/>
      <c r="D74" s="247">
        <f>SUM(D75:D85)</f>
        <v>10880</v>
      </c>
      <c r="E74" s="247">
        <f>SUM(E75:E85)</f>
        <v>10880</v>
      </c>
      <c r="F74" s="247"/>
      <c r="G74" s="248">
        <f t="shared" si="18"/>
        <v>0</v>
      </c>
      <c r="H74" s="177"/>
      <c r="I74" s="177"/>
      <c r="J74" s="555"/>
      <c r="K74" s="142"/>
    </row>
    <row r="75" spans="1:11" ht="15.75">
      <c r="A75" s="153" t="s">
        <v>36</v>
      </c>
      <c r="B75" s="150" t="s">
        <v>42</v>
      </c>
      <c r="C75" s="192" t="s">
        <v>42</v>
      </c>
      <c r="D75" s="249">
        <f t="shared" ref="D75:D106" si="27">SUM(E75:K75)</f>
        <v>1000</v>
      </c>
      <c r="E75" s="249">
        <f>25*40</f>
        <v>1000</v>
      </c>
      <c r="F75" s="249"/>
      <c r="G75" s="248">
        <f t="shared" ref="G75:G138" si="28">H75+I75</f>
        <v>0</v>
      </c>
      <c r="H75" s="179"/>
      <c r="I75" s="179"/>
      <c r="J75" s="555"/>
      <c r="K75" s="151"/>
    </row>
    <row r="76" spans="1:11" ht="15.75">
      <c r="A76" s="153" t="s">
        <v>57</v>
      </c>
      <c r="B76" s="152" t="s">
        <v>43</v>
      </c>
      <c r="C76" s="193" t="s">
        <v>43</v>
      </c>
      <c r="D76" s="249">
        <f t="shared" si="27"/>
        <v>880</v>
      </c>
      <c r="E76" s="249">
        <f>22*40</f>
        <v>880</v>
      </c>
      <c r="F76" s="249"/>
      <c r="G76" s="248">
        <f t="shared" si="28"/>
        <v>0</v>
      </c>
      <c r="H76" s="179"/>
      <c r="I76" s="179"/>
      <c r="J76" s="555"/>
      <c r="K76" s="151"/>
    </row>
    <row r="77" spans="1:11" ht="15.75">
      <c r="A77" s="153" t="s">
        <v>58</v>
      </c>
      <c r="B77" s="152" t="s">
        <v>44</v>
      </c>
      <c r="C77" s="193" t="s">
        <v>44</v>
      </c>
      <c r="D77" s="249">
        <f t="shared" si="27"/>
        <v>240</v>
      </c>
      <c r="E77" s="249">
        <f>6*40</f>
        <v>240</v>
      </c>
      <c r="F77" s="249"/>
      <c r="G77" s="248">
        <f t="shared" si="28"/>
        <v>0</v>
      </c>
      <c r="H77" s="179"/>
      <c r="I77" s="179"/>
      <c r="J77" s="555"/>
      <c r="K77" s="151"/>
    </row>
    <row r="78" spans="1:11" ht="15.75">
      <c r="A78" s="153" t="s">
        <v>59</v>
      </c>
      <c r="B78" s="152" t="s">
        <v>52</v>
      </c>
      <c r="C78" s="193" t="s">
        <v>52</v>
      </c>
      <c r="D78" s="249">
        <f t="shared" si="27"/>
        <v>320</v>
      </c>
      <c r="E78" s="249">
        <f>8*40</f>
        <v>320</v>
      </c>
      <c r="F78" s="249"/>
      <c r="G78" s="248">
        <f t="shared" si="28"/>
        <v>0</v>
      </c>
      <c r="H78" s="179"/>
      <c r="I78" s="179"/>
      <c r="J78" s="555"/>
      <c r="K78" s="151"/>
    </row>
    <row r="79" spans="1:11" ht="15.75">
      <c r="A79" s="153" t="s">
        <v>60</v>
      </c>
      <c r="B79" s="152" t="s">
        <v>51</v>
      </c>
      <c r="C79" s="193" t="s">
        <v>51</v>
      </c>
      <c r="D79" s="249">
        <f t="shared" si="27"/>
        <v>1200</v>
      </c>
      <c r="E79" s="249">
        <f>30*40</f>
        <v>1200</v>
      </c>
      <c r="F79" s="249"/>
      <c r="G79" s="248">
        <f t="shared" si="28"/>
        <v>0</v>
      </c>
      <c r="H79" s="179"/>
      <c r="I79" s="179"/>
      <c r="J79" s="555"/>
      <c r="K79" s="151"/>
    </row>
    <row r="80" spans="1:11" ht="15.75">
      <c r="A80" s="153" t="s">
        <v>110</v>
      </c>
      <c r="B80" s="152" t="s">
        <v>45</v>
      </c>
      <c r="C80" s="193" t="s">
        <v>45</v>
      </c>
      <c r="D80" s="249">
        <f t="shared" si="27"/>
        <v>1040</v>
      </c>
      <c r="E80" s="249">
        <f>26*40</f>
        <v>1040</v>
      </c>
      <c r="F80" s="249"/>
      <c r="G80" s="248">
        <f t="shared" si="28"/>
        <v>0</v>
      </c>
      <c r="H80" s="179"/>
      <c r="I80" s="179"/>
      <c r="J80" s="555"/>
      <c r="K80" s="151"/>
    </row>
    <row r="81" spans="1:11" ht="15.75">
      <c r="A81" s="153" t="s">
        <v>111</v>
      </c>
      <c r="B81" s="152" t="s">
        <v>46</v>
      </c>
      <c r="C81" s="193" t="s">
        <v>46</v>
      </c>
      <c r="D81" s="249">
        <f t="shared" si="27"/>
        <v>480</v>
      </c>
      <c r="E81" s="249">
        <f>12*40</f>
        <v>480</v>
      </c>
      <c r="F81" s="249"/>
      <c r="G81" s="248">
        <f t="shared" si="28"/>
        <v>0</v>
      </c>
      <c r="H81" s="179"/>
      <c r="I81" s="179"/>
      <c r="J81" s="555"/>
      <c r="K81" s="151"/>
    </row>
    <row r="82" spans="1:11" ht="15.75">
      <c r="A82" s="153" t="s">
        <v>112</v>
      </c>
      <c r="B82" s="152" t="s">
        <v>47</v>
      </c>
      <c r="C82" s="193" t="s">
        <v>47</v>
      </c>
      <c r="D82" s="249">
        <f t="shared" si="27"/>
        <v>640</v>
      </c>
      <c r="E82" s="249">
        <f>16*40</f>
        <v>640</v>
      </c>
      <c r="F82" s="249"/>
      <c r="G82" s="248">
        <f t="shared" si="28"/>
        <v>0</v>
      </c>
      <c r="H82" s="179"/>
      <c r="I82" s="179"/>
      <c r="J82" s="555"/>
      <c r="K82" s="151"/>
    </row>
    <row r="83" spans="1:11" ht="15.75">
      <c r="A83" s="153" t="s">
        <v>113</v>
      </c>
      <c r="B83" s="152" t="s">
        <v>48</v>
      </c>
      <c r="C83" s="193" t="s">
        <v>48</v>
      </c>
      <c r="D83" s="249">
        <f t="shared" si="27"/>
        <v>1520</v>
      </c>
      <c r="E83" s="249">
        <f>38*40</f>
        <v>1520</v>
      </c>
      <c r="F83" s="249"/>
      <c r="G83" s="248">
        <f t="shared" si="28"/>
        <v>0</v>
      </c>
      <c r="H83" s="179"/>
      <c r="I83" s="179"/>
      <c r="J83" s="555"/>
      <c r="K83" s="151"/>
    </row>
    <row r="84" spans="1:11" ht="15.75">
      <c r="A84" s="153" t="s">
        <v>114</v>
      </c>
      <c r="B84" s="152" t="s">
        <v>49</v>
      </c>
      <c r="C84" s="193" t="s">
        <v>49</v>
      </c>
      <c r="D84" s="249">
        <f t="shared" si="27"/>
        <v>1720</v>
      </c>
      <c r="E84" s="249">
        <f>43*40</f>
        <v>1720</v>
      </c>
      <c r="F84" s="249"/>
      <c r="G84" s="248">
        <f t="shared" si="28"/>
        <v>0</v>
      </c>
      <c r="H84" s="179"/>
      <c r="I84" s="179"/>
      <c r="J84" s="555"/>
      <c r="K84" s="151"/>
    </row>
    <row r="85" spans="1:11" ht="15.75">
      <c r="A85" s="153" t="s">
        <v>115</v>
      </c>
      <c r="B85" s="152" t="s">
        <v>50</v>
      </c>
      <c r="C85" s="193" t="s">
        <v>50</v>
      </c>
      <c r="D85" s="249">
        <f t="shared" si="27"/>
        <v>1840</v>
      </c>
      <c r="E85" s="249">
        <f>46*40</f>
        <v>1840</v>
      </c>
      <c r="F85" s="249"/>
      <c r="G85" s="248">
        <f t="shared" si="28"/>
        <v>0</v>
      </c>
      <c r="H85" s="179"/>
      <c r="I85" s="179"/>
      <c r="J85" s="555"/>
      <c r="K85" s="151"/>
    </row>
    <row r="86" spans="1:11" ht="23.25" customHeight="1">
      <c r="A86" s="143" t="s">
        <v>15</v>
      </c>
      <c r="B86" s="144" t="s">
        <v>450</v>
      </c>
      <c r="C86" s="190"/>
      <c r="D86" s="247">
        <f>SUM(E86:K86)</f>
        <v>642</v>
      </c>
      <c r="E86" s="247">
        <f>E87+E100</f>
        <v>642</v>
      </c>
      <c r="F86" s="247"/>
      <c r="G86" s="248">
        <f t="shared" si="28"/>
        <v>0</v>
      </c>
      <c r="H86" s="177"/>
      <c r="I86" s="177"/>
      <c r="J86" s="555"/>
      <c r="K86" s="142"/>
    </row>
    <row r="87" spans="1:11" s="229" customFormat="1" ht="15.75">
      <c r="A87" s="224" t="s">
        <v>451</v>
      </c>
      <c r="B87" s="230" t="s">
        <v>452</v>
      </c>
      <c r="C87" s="231"/>
      <c r="D87" s="250">
        <f>SUM(E87:K87)</f>
        <v>442</v>
      </c>
      <c r="E87" s="250">
        <f>SUM(E88:E99)</f>
        <v>442</v>
      </c>
      <c r="F87" s="250"/>
      <c r="G87" s="248">
        <f t="shared" si="28"/>
        <v>0</v>
      </c>
      <c r="H87" s="227"/>
      <c r="I87" s="227"/>
      <c r="J87" s="555"/>
      <c r="K87" s="228"/>
    </row>
    <row r="88" spans="1:11" ht="30">
      <c r="A88" s="153" t="s">
        <v>36</v>
      </c>
      <c r="B88" s="155" t="s">
        <v>453</v>
      </c>
      <c r="C88" s="137" t="s">
        <v>825</v>
      </c>
      <c r="D88" s="249">
        <f t="shared" si="27"/>
        <v>123</v>
      </c>
      <c r="E88" s="249">
        <v>123</v>
      </c>
      <c r="F88" s="249"/>
      <c r="G88" s="248">
        <f t="shared" si="28"/>
        <v>0</v>
      </c>
      <c r="H88" s="179"/>
      <c r="I88" s="179"/>
      <c r="J88" s="555"/>
      <c r="K88" s="151"/>
    </row>
    <row r="89" spans="1:11" ht="15.75">
      <c r="A89" s="153" t="s">
        <v>57</v>
      </c>
      <c r="B89" s="150" t="s">
        <v>42</v>
      </c>
      <c r="C89" s="192" t="s">
        <v>42</v>
      </c>
      <c r="D89" s="249">
        <f t="shared" si="27"/>
        <v>29</v>
      </c>
      <c r="E89" s="249">
        <v>29</v>
      </c>
      <c r="F89" s="249"/>
      <c r="G89" s="248">
        <f t="shared" si="28"/>
        <v>0</v>
      </c>
      <c r="H89" s="179"/>
      <c r="I89" s="179"/>
      <c r="J89" s="555"/>
      <c r="K89" s="151"/>
    </row>
    <row r="90" spans="1:11" ht="15.75">
      <c r="A90" s="153" t="s">
        <v>58</v>
      </c>
      <c r="B90" s="152" t="s">
        <v>43</v>
      </c>
      <c r="C90" s="193" t="s">
        <v>43</v>
      </c>
      <c r="D90" s="249">
        <f t="shared" si="27"/>
        <v>29</v>
      </c>
      <c r="E90" s="249">
        <v>29</v>
      </c>
      <c r="F90" s="249"/>
      <c r="G90" s="248">
        <f t="shared" si="28"/>
        <v>0</v>
      </c>
      <c r="H90" s="179"/>
      <c r="I90" s="179"/>
      <c r="J90" s="555"/>
      <c r="K90" s="151"/>
    </row>
    <row r="91" spans="1:11" ht="15.75">
      <c r="A91" s="153" t="s">
        <v>59</v>
      </c>
      <c r="B91" s="152" t="s">
        <v>44</v>
      </c>
      <c r="C91" s="193" t="s">
        <v>44</v>
      </c>
      <c r="D91" s="249">
        <f t="shared" si="27"/>
        <v>29</v>
      </c>
      <c r="E91" s="249">
        <v>29</v>
      </c>
      <c r="F91" s="249"/>
      <c r="G91" s="248">
        <f t="shared" si="28"/>
        <v>0</v>
      </c>
      <c r="H91" s="179"/>
      <c r="I91" s="179"/>
      <c r="J91" s="555"/>
      <c r="K91" s="151"/>
    </row>
    <row r="92" spans="1:11" ht="15.75">
      <c r="A92" s="153" t="s">
        <v>60</v>
      </c>
      <c r="B92" s="152" t="s">
        <v>52</v>
      </c>
      <c r="C92" s="193" t="s">
        <v>52</v>
      </c>
      <c r="D92" s="249">
        <f t="shared" si="27"/>
        <v>29</v>
      </c>
      <c r="E92" s="249">
        <v>29</v>
      </c>
      <c r="F92" s="249"/>
      <c r="G92" s="248">
        <f t="shared" si="28"/>
        <v>0</v>
      </c>
      <c r="H92" s="179"/>
      <c r="I92" s="179"/>
      <c r="J92" s="555"/>
      <c r="K92" s="151"/>
    </row>
    <row r="93" spans="1:11" ht="15.75">
      <c r="A93" s="153" t="s">
        <v>110</v>
      </c>
      <c r="B93" s="152" t="s">
        <v>51</v>
      </c>
      <c r="C93" s="193" t="s">
        <v>51</v>
      </c>
      <c r="D93" s="249">
        <f t="shared" si="27"/>
        <v>29</v>
      </c>
      <c r="E93" s="249">
        <v>29</v>
      </c>
      <c r="F93" s="249"/>
      <c r="G93" s="248">
        <f t="shared" si="28"/>
        <v>0</v>
      </c>
      <c r="H93" s="179"/>
      <c r="I93" s="179"/>
      <c r="J93" s="555"/>
      <c r="K93" s="151"/>
    </row>
    <row r="94" spans="1:11" ht="15.75">
      <c r="A94" s="153" t="s">
        <v>111</v>
      </c>
      <c r="B94" s="152" t="s">
        <v>45</v>
      </c>
      <c r="C94" s="193" t="s">
        <v>45</v>
      </c>
      <c r="D94" s="249">
        <f t="shared" si="27"/>
        <v>29</v>
      </c>
      <c r="E94" s="249">
        <v>29</v>
      </c>
      <c r="F94" s="249"/>
      <c r="G94" s="248">
        <f t="shared" si="28"/>
        <v>0</v>
      </c>
      <c r="H94" s="179"/>
      <c r="I94" s="179"/>
      <c r="J94" s="555"/>
      <c r="K94" s="151"/>
    </row>
    <row r="95" spans="1:11" ht="15.75">
      <c r="A95" s="153" t="s">
        <v>112</v>
      </c>
      <c r="B95" s="152" t="s">
        <v>46</v>
      </c>
      <c r="C95" s="193" t="s">
        <v>46</v>
      </c>
      <c r="D95" s="249">
        <f t="shared" si="27"/>
        <v>29</v>
      </c>
      <c r="E95" s="249">
        <v>29</v>
      </c>
      <c r="F95" s="249"/>
      <c r="G95" s="248">
        <f t="shared" si="28"/>
        <v>0</v>
      </c>
      <c r="H95" s="179"/>
      <c r="I95" s="179"/>
      <c r="J95" s="555"/>
      <c r="K95" s="151"/>
    </row>
    <row r="96" spans="1:11" ht="15.75">
      <c r="A96" s="153" t="s">
        <v>113</v>
      </c>
      <c r="B96" s="152" t="s">
        <v>47</v>
      </c>
      <c r="C96" s="193" t="s">
        <v>47</v>
      </c>
      <c r="D96" s="249">
        <f t="shared" si="27"/>
        <v>29</v>
      </c>
      <c r="E96" s="249">
        <v>29</v>
      </c>
      <c r="F96" s="249"/>
      <c r="G96" s="248">
        <f t="shared" si="28"/>
        <v>0</v>
      </c>
      <c r="H96" s="179"/>
      <c r="I96" s="179"/>
      <c r="J96" s="555"/>
      <c r="K96" s="151"/>
    </row>
    <row r="97" spans="1:11" ht="15.75">
      <c r="A97" s="153" t="s">
        <v>114</v>
      </c>
      <c r="B97" s="152" t="s">
        <v>48</v>
      </c>
      <c r="C97" s="193" t="s">
        <v>48</v>
      </c>
      <c r="D97" s="249">
        <f t="shared" si="27"/>
        <v>29</v>
      </c>
      <c r="E97" s="249">
        <v>29</v>
      </c>
      <c r="F97" s="249"/>
      <c r="G97" s="248">
        <f t="shared" si="28"/>
        <v>0</v>
      </c>
      <c r="H97" s="179"/>
      <c r="I97" s="179"/>
      <c r="J97" s="555"/>
      <c r="K97" s="151"/>
    </row>
    <row r="98" spans="1:11" ht="15.75">
      <c r="A98" s="153" t="s">
        <v>115</v>
      </c>
      <c r="B98" s="152" t="s">
        <v>49</v>
      </c>
      <c r="C98" s="193" t="s">
        <v>49</v>
      </c>
      <c r="D98" s="249">
        <f t="shared" si="27"/>
        <v>29</v>
      </c>
      <c r="E98" s="249">
        <v>29</v>
      </c>
      <c r="F98" s="249"/>
      <c r="G98" s="248">
        <f t="shared" si="28"/>
        <v>0</v>
      </c>
      <c r="H98" s="179"/>
      <c r="I98" s="179"/>
      <c r="J98" s="555"/>
      <c r="K98" s="151"/>
    </row>
    <row r="99" spans="1:11" ht="15.75">
      <c r="A99" s="153" t="s">
        <v>116</v>
      </c>
      <c r="B99" s="152" t="s">
        <v>50</v>
      </c>
      <c r="C99" s="193" t="s">
        <v>50</v>
      </c>
      <c r="D99" s="249">
        <f t="shared" si="27"/>
        <v>29</v>
      </c>
      <c r="E99" s="249">
        <v>29</v>
      </c>
      <c r="F99" s="249"/>
      <c r="G99" s="248">
        <f t="shared" si="28"/>
        <v>0</v>
      </c>
      <c r="H99" s="179"/>
      <c r="I99" s="179"/>
      <c r="J99" s="555"/>
      <c r="K99" s="151"/>
    </row>
    <row r="100" spans="1:11" s="229" customFormat="1" ht="15.75">
      <c r="A100" s="224" t="s">
        <v>454</v>
      </c>
      <c r="B100" s="230" t="s">
        <v>455</v>
      </c>
      <c r="C100" s="231"/>
      <c r="D100" s="250">
        <f>SUM(E100:K100)</f>
        <v>200</v>
      </c>
      <c r="E100" s="250">
        <f>SUM(E101:E112)</f>
        <v>200</v>
      </c>
      <c r="F100" s="250"/>
      <c r="G100" s="248">
        <f t="shared" si="28"/>
        <v>0</v>
      </c>
      <c r="H100" s="227">
        <f t="shared" ref="H100:K100" si="29">SUM(H101:H112)</f>
        <v>0</v>
      </c>
      <c r="I100" s="227"/>
      <c r="J100" s="555"/>
      <c r="K100" s="228">
        <f t="shared" si="29"/>
        <v>0</v>
      </c>
    </row>
    <row r="101" spans="1:11" ht="36" customHeight="1">
      <c r="A101" s="153" t="s">
        <v>36</v>
      </c>
      <c r="B101" s="155" t="s">
        <v>831</v>
      </c>
      <c r="C101" s="137" t="s">
        <v>825</v>
      </c>
      <c r="D101" s="249">
        <f t="shared" si="27"/>
        <v>46</v>
      </c>
      <c r="E101" s="249">
        <v>46</v>
      </c>
      <c r="F101" s="249"/>
      <c r="G101" s="248">
        <f t="shared" si="28"/>
        <v>0</v>
      </c>
      <c r="H101" s="179"/>
      <c r="I101" s="179"/>
      <c r="J101" s="555"/>
      <c r="K101" s="151"/>
    </row>
    <row r="102" spans="1:11" ht="15.75">
      <c r="A102" s="153" t="s">
        <v>57</v>
      </c>
      <c r="B102" s="150" t="s">
        <v>42</v>
      </c>
      <c r="C102" s="192" t="s">
        <v>42</v>
      </c>
      <c r="D102" s="249">
        <f t="shared" si="27"/>
        <v>14</v>
      </c>
      <c r="E102" s="249">
        <v>14</v>
      </c>
      <c r="F102" s="249"/>
      <c r="G102" s="248">
        <f t="shared" si="28"/>
        <v>0</v>
      </c>
      <c r="H102" s="179"/>
      <c r="I102" s="179"/>
      <c r="J102" s="555"/>
      <c r="K102" s="151"/>
    </row>
    <row r="103" spans="1:11" ht="15.75">
      <c r="A103" s="153" t="s">
        <v>58</v>
      </c>
      <c r="B103" s="152" t="s">
        <v>43</v>
      </c>
      <c r="C103" s="193" t="s">
        <v>43</v>
      </c>
      <c r="D103" s="249">
        <f t="shared" si="27"/>
        <v>14</v>
      </c>
      <c r="E103" s="249">
        <v>14</v>
      </c>
      <c r="F103" s="249"/>
      <c r="G103" s="248">
        <f t="shared" si="28"/>
        <v>0</v>
      </c>
      <c r="H103" s="179"/>
      <c r="I103" s="179"/>
      <c r="J103" s="555"/>
      <c r="K103" s="151"/>
    </row>
    <row r="104" spans="1:11" ht="15.75">
      <c r="A104" s="153" t="s">
        <v>59</v>
      </c>
      <c r="B104" s="152" t="s">
        <v>44</v>
      </c>
      <c r="C104" s="193" t="s">
        <v>44</v>
      </c>
      <c r="D104" s="249">
        <f t="shared" si="27"/>
        <v>14</v>
      </c>
      <c r="E104" s="249">
        <v>14</v>
      </c>
      <c r="F104" s="249"/>
      <c r="G104" s="248">
        <f t="shared" si="28"/>
        <v>0</v>
      </c>
      <c r="H104" s="179"/>
      <c r="I104" s="179"/>
      <c r="J104" s="555"/>
      <c r="K104" s="151"/>
    </row>
    <row r="105" spans="1:11" ht="15.75">
      <c r="A105" s="153" t="s">
        <v>60</v>
      </c>
      <c r="B105" s="152" t="s">
        <v>52</v>
      </c>
      <c r="C105" s="193" t="s">
        <v>52</v>
      </c>
      <c r="D105" s="249">
        <f t="shared" si="27"/>
        <v>14</v>
      </c>
      <c r="E105" s="249">
        <v>14</v>
      </c>
      <c r="F105" s="249"/>
      <c r="G105" s="248">
        <f t="shared" si="28"/>
        <v>0</v>
      </c>
      <c r="H105" s="179"/>
      <c r="I105" s="179"/>
      <c r="J105" s="555"/>
      <c r="K105" s="151"/>
    </row>
    <row r="106" spans="1:11" ht="15.75">
      <c r="A106" s="153" t="s">
        <v>110</v>
      </c>
      <c r="B106" s="152" t="s">
        <v>51</v>
      </c>
      <c r="C106" s="193" t="s">
        <v>51</v>
      </c>
      <c r="D106" s="249">
        <f t="shared" si="27"/>
        <v>14</v>
      </c>
      <c r="E106" s="249">
        <v>14</v>
      </c>
      <c r="F106" s="249"/>
      <c r="G106" s="248">
        <f t="shared" si="28"/>
        <v>0</v>
      </c>
      <c r="H106" s="179"/>
      <c r="I106" s="179"/>
      <c r="J106" s="555"/>
      <c r="K106" s="151"/>
    </row>
    <row r="107" spans="1:11" ht="15.75">
      <c r="A107" s="153" t="s">
        <v>111</v>
      </c>
      <c r="B107" s="152" t="s">
        <v>45</v>
      </c>
      <c r="C107" s="193" t="s">
        <v>45</v>
      </c>
      <c r="D107" s="249">
        <f t="shared" ref="D107:D134" si="30">SUM(E107:K107)</f>
        <v>14</v>
      </c>
      <c r="E107" s="249">
        <v>14</v>
      </c>
      <c r="F107" s="249"/>
      <c r="G107" s="248">
        <f t="shared" si="28"/>
        <v>0</v>
      </c>
      <c r="H107" s="179"/>
      <c r="I107" s="179"/>
      <c r="J107" s="555"/>
      <c r="K107" s="151"/>
    </row>
    <row r="108" spans="1:11" ht="15.75">
      <c r="A108" s="153" t="s">
        <v>112</v>
      </c>
      <c r="B108" s="152" t="s">
        <v>46</v>
      </c>
      <c r="C108" s="193" t="s">
        <v>46</v>
      </c>
      <c r="D108" s="249">
        <f t="shared" si="30"/>
        <v>14</v>
      </c>
      <c r="E108" s="249">
        <v>14</v>
      </c>
      <c r="F108" s="249"/>
      <c r="G108" s="248">
        <f t="shared" si="28"/>
        <v>0</v>
      </c>
      <c r="H108" s="179"/>
      <c r="I108" s="179"/>
      <c r="J108" s="555"/>
      <c r="K108" s="151"/>
    </row>
    <row r="109" spans="1:11" ht="15.75">
      <c r="A109" s="153" t="s">
        <v>113</v>
      </c>
      <c r="B109" s="152" t="s">
        <v>47</v>
      </c>
      <c r="C109" s="193" t="s">
        <v>47</v>
      </c>
      <c r="D109" s="249">
        <f t="shared" si="30"/>
        <v>14</v>
      </c>
      <c r="E109" s="249">
        <v>14</v>
      </c>
      <c r="F109" s="249"/>
      <c r="G109" s="248">
        <f t="shared" si="28"/>
        <v>0</v>
      </c>
      <c r="H109" s="179"/>
      <c r="I109" s="179"/>
      <c r="J109" s="555"/>
      <c r="K109" s="151"/>
    </row>
    <row r="110" spans="1:11" ht="15.75">
      <c r="A110" s="153" t="s">
        <v>114</v>
      </c>
      <c r="B110" s="152" t="s">
        <v>48</v>
      </c>
      <c r="C110" s="193" t="s">
        <v>48</v>
      </c>
      <c r="D110" s="249">
        <f t="shared" si="30"/>
        <v>14</v>
      </c>
      <c r="E110" s="249">
        <v>14</v>
      </c>
      <c r="F110" s="249"/>
      <c r="G110" s="248">
        <f t="shared" si="28"/>
        <v>0</v>
      </c>
      <c r="H110" s="179"/>
      <c r="I110" s="179"/>
      <c r="J110" s="555"/>
      <c r="K110" s="151"/>
    </row>
    <row r="111" spans="1:11" ht="15.75">
      <c r="A111" s="153" t="s">
        <v>115</v>
      </c>
      <c r="B111" s="152" t="s">
        <v>49</v>
      </c>
      <c r="C111" s="193" t="s">
        <v>49</v>
      </c>
      <c r="D111" s="249">
        <f t="shared" si="30"/>
        <v>14</v>
      </c>
      <c r="E111" s="249">
        <v>14</v>
      </c>
      <c r="F111" s="249"/>
      <c r="G111" s="248">
        <f t="shared" si="28"/>
        <v>0</v>
      </c>
      <c r="H111" s="179"/>
      <c r="I111" s="179"/>
      <c r="J111" s="555"/>
      <c r="K111" s="151"/>
    </row>
    <row r="112" spans="1:11" ht="15.75">
      <c r="A112" s="153" t="s">
        <v>116</v>
      </c>
      <c r="B112" s="152" t="s">
        <v>50</v>
      </c>
      <c r="C112" s="193" t="s">
        <v>50</v>
      </c>
      <c r="D112" s="249">
        <f t="shared" si="30"/>
        <v>14</v>
      </c>
      <c r="E112" s="249">
        <v>14</v>
      </c>
      <c r="F112" s="249"/>
      <c r="G112" s="248">
        <f t="shared" si="28"/>
        <v>0</v>
      </c>
      <c r="H112" s="179"/>
      <c r="I112" s="179"/>
      <c r="J112" s="555"/>
      <c r="K112" s="151"/>
    </row>
    <row r="113" spans="1:11" ht="31.5">
      <c r="A113" s="158" t="s">
        <v>16</v>
      </c>
      <c r="B113" s="159" t="s">
        <v>456</v>
      </c>
      <c r="C113" s="195"/>
      <c r="D113" s="247">
        <f>SUM(D114:D126)</f>
        <v>743</v>
      </c>
      <c r="E113" s="247">
        <f t="shared" ref="E113:H113" si="31">SUM(E114:E126)</f>
        <v>743</v>
      </c>
      <c r="F113" s="247">
        <f t="shared" si="31"/>
        <v>0</v>
      </c>
      <c r="G113" s="248">
        <f t="shared" si="28"/>
        <v>0</v>
      </c>
      <c r="H113" s="247">
        <f t="shared" si="31"/>
        <v>0</v>
      </c>
      <c r="I113" s="247"/>
      <c r="J113" s="555">
        <f t="shared" ref="J113" si="32">G113/D113*100</f>
        <v>0</v>
      </c>
      <c r="K113" s="142"/>
    </row>
    <row r="114" spans="1:11" ht="15.75">
      <c r="A114" s="140">
        <v>1</v>
      </c>
      <c r="B114" s="155" t="s">
        <v>41</v>
      </c>
      <c r="C114" s="137" t="s">
        <v>148</v>
      </c>
      <c r="D114" s="249">
        <f t="shared" si="30"/>
        <v>99</v>
      </c>
      <c r="E114" s="249">
        <v>99</v>
      </c>
      <c r="F114" s="249"/>
      <c r="G114" s="248">
        <f t="shared" si="28"/>
        <v>0</v>
      </c>
      <c r="H114" s="180"/>
      <c r="I114" s="180"/>
      <c r="J114" s="555"/>
      <c r="K114" s="156"/>
    </row>
    <row r="115" spans="1:11" ht="15.75">
      <c r="A115" s="140">
        <v>1</v>
      </c>
      <c r="B115" s="150" t="s">
        <v>42</v>
      </c>
      <c r="C115" s="192" t="s">
        <v>42</v>
      </c>
      <c r="D115" s="249">
        <f t="shared" si="30"/>
        <v>35</v>
      </c>
      <c r="E115" s="249">
        <v>35</v>
      </c>
      <c r="F115" s="249"/>
      <c r="G115" s="248">
        <f t="shared" si="28"/>
        <v>0</v>
      </c>
      <c r="H115" s="180"/>
      <c r="I115" s="180"/>
      <c r="J115" s="555"/>
      <c r="K115" s="156"/>
    </row>
    <row r="116" spans="1:11" ht="15.75">
      <c r="A116" s="140">
        <v>2</v>
      </c>
      <c r="B116" s="152" t="s">
        <v>43</v>
      </c>
      <c r="C116" s="193" t="s">
        <v>43</v>
      </c>
      <c r="D116" s="249">
        <f t="shared" si="30"/>
        <v>35</v>
      </c>
      <c r="E116" s="249">
        <v>35</v>
      </c>
      <c r="F116" s="249"/>
      <c r="G116" s="248">
        <f t="shared" si="28"/>
        <v>0</v>
      </c>
      <c r="H116" s="180"/>
      <c r="I116" s="180"/>
      <c r="J116" s="555"/>
      <c r="K116" s="156"/>
    </row>
    <row r="117" spans="1:11" ht="15.75">
      <c r="A117" s="140">
        <v>3</v>
      </c>
      <c r="B117" s="152" t="s">
        <v>44</v>
      </c>
      <c r="C117" s="193" t="s">
        <v>44</v>
      </c>
      <c r="D117" s="249">
        <f t="shared" si="30"/>
        <v>35</v>
      </c>
      <c r="E117" s="249">
        <v>35</v>
      </c>
      <c r="F117" s="249"/>
      <c r="G117" s="248">
        <f t="shared" si="28"/>
        <v>0</v>
      </c>
      <c r="H117" s="180"/>
      <c r="I117" s="180"/>
      <c r="J117" s="555"/>
      <c r="K117" s="156"/>
    </row>
    <row r="118" spans="1:11" ht="15.75">
      <c r="A118" s="140">
        <v>4</v>
      </c>
      <c r="B118" s="152" t="s">
        <v>52</v>
      </c>
      <c r="C118" s="193" t="s">
        <v>52</v>
      </c>
      <c r="D118" s="249">
        <f t="shared" si="30"/>
        <v>35</v>
      </c>
      <c r="E118" s="249">
        <v>35</v>
      </c>
      <c r="F118" s="249"/>
      <c r="G118" s="248">
        <f t="shared" si="28"/>
        <v>0</v>
      </c>
      <c r="H118" s="180"/>
      <c r="I118" s="180"/>
      <c r="J118" s="555"/>
      <c r="K118" s="156"/>
    </row>
    <row r="119" spans="1:11" ht="15.75">
      <c r="A119" s="140">
        <v>5</v>
      </c>
      <c r="B119" s="152" t="s">
        <v>51</v>
      </c>
      <c r="C119" s="193" t="s">
        <v>51</v>
      </c>
      <c r="D119" s="249">
        <f t="shared" si="30"/>
        <v>35</v>
      </c>
      <c r="E119" s="249">
        <v>35</v>
      </c>
      <c r="F119" s="249"/>
      <c r="G119" s="248">
        <f t="shared" si="28"/>
        <v>0</v>
      </c>
      <c r="H119" s="180"/>
      <c r="I119" s="180"/>
      <c r="J119" s="555"/>
      <c r="K119" s="156"/>
    </row>
    <row r="120" spans="1:11" ht="15.75">
      <c r="A120" s="140">
        <v>6</v>
      </c>
      <c r="B120" s="152" t="s">
        <v>45</v>
      </c>
      <c r="C120" s="193" t="s">
        <v>45</v>
      </c>
      <c r="D120" s="249">
        <f t="shared" si="30"/>
        <v>35</v>
      </c>
      <c r="E120" s="249">
        <v>35</v>
      </c>
      <c r="F120" s="249"/>
      <c r="G120" s="248">
        <f t="shared" si="28"/>
        <v>0</v>
      </c>
      <c r="H120" s="180"/>
      <c r="I120" s="180"/>
      <c r="J120" s="555"/>
      <c r="K120" s="156"/>
    </row>
    <row r="121" spans="1:11" ht="15.75">
      <c r="A121" s="140">
        <v>7</v>
      </c>
      <c r="B121" s="152" t="s">
        <v>46</v>
      </c>
      <c r="C121" s="193" t="s">
        <v>46</v>
      </c>
      <c r="D121" s="249">
        <f t="shared" si="30"/>
        <v>35</v>
      </c>
      <c r="E121" s="249">
        <v>35</v>
      </c>
      <c r="F121" s="249"/>
      <c r="G121" s="248">
        <f t="shared" si="28"/>
        <v>0</v>
      </c>
      <c r="H121" s="180"/>
      <c r="I121" s="180"/>
      <c r="J121" s="555"/>
      <c r="K121" s="156"/>
    </row>
    <row r="122" spans="1:11" ht="15.75">
      <c r="A122" s="140">
        <v>8</v>
      </c>
      <c r="B122" s="152" t="s">
        <v>47</v>
      </c>
      <c r="C122" s="193" t="s">
        <v>47</v>
      </c>
      <c r="D122" s="249">
        <f t="shared" si="30"/>
        <v>35</v>
      </c>
      <c r="E122" s="249">
        <v>35</v>
      </c>
      <c r="F122" s="249"/>
      <c r="G122" s="248">
        <f t="shared" si="28"/>
        <v>0</v>
      </c>
      <c r="H122" s="180"/>
      <c r="I122" s="180"/>
      <c r="J122" s="555"/>
      <c r="K122" s="156"/>
    </row>
    <row r="123" spans="1:11" ht="15.75">
      <c r="A123" s="140">
        <v>9</v>
      </c>
      <c r="B123" s="152" t="s">
        <v>48</v>
      </c>
      <c r="C123" s="193" t="s">
        <v>48</v>
      </c>
      <c r="D123" s="249">
        <f t="shared" si="30"/>
        <v>35</v>
      </c>
      <c r="E123" s="249">
        <v>35</v>
      </c>
      <c r="F123" s="249"/>
      <c r="G123" s="248">
        <f t="shared" si="28"/>
        <v>0</v>
      </c>
      <c r="H123" s="180"/>
      <c r="I123" s="180"/>
      <c r="J123" s="555"/>
      <c r="K123" s="156"/>
    </row>
    <row r="124" spans="1:11" ht="15.75">
      <c r="A124" s="140">
        <v>10</v>
      </c>
      <c r="B124" s="152" t="s">
        <v>49</v>
      </c>
      <c r="C124" s="193" t="s">
        <v>49</v>
      </c>
      <c r="D124" s="249">
        <f t="shared" si="30"/>
        <v>35</v>
      </c>
      <c r="E124" s="249">
        <v>35</v>
      </c>
      <c r="F124" s="249"/>
      <c r="G124" s="248">
        <f t="shared" si="28"/>
        <v>0</v>
      </c>
      <c r="H124" s="180"/>
      <c r="I124" s="180"/>
      <c r="J124" s="555"/>
      <c r="K124" s="156"/>
    </row>
    <row r="125" spans="1:11" ht="15.75">
      <c r="A125" s="140">
        <v>11</v>
      </c>
      <c r="B125" s="152" t="s">
        <v>50</v>
      </c>
      <c r="C125" s="193" t="s">
        <v>50</v>
      </c>
      <c r="D125" s="249">
        <f t="shared" si="30"/>
        <v>35</v>
      </c>
      <c r="E125" s="249">
        <v>35</v>
      </c>
      <c r="F125" s="249"/>
      <c r="G125" s="248">
        <f t="shared" si="28"/>
        <v>0</v>
      </c>
      <c r="H125" s="181"/>
      <c r="I125" s="181"/>
      <c r="J125" s="555"/>
      <c r="K125" s="160"/>
    </row>
    <row r="126" spans="1:11" ht="15.75">
      <c r="A126" s="158" t="s">
        <v>481</v>
      </c>
      <c r="B126" s="159" t="s">
        <v>484</v>
      </c>
      <c r="C126" s="195"/>
      <c r="D126" s="247">
        <f>SUM(D127:D138)</f>
        <v>259</v>
      </c>
      <c r="E126" s="247">
        <f>SUM(E127:E138)</f>
        <v>259</v>
      </c>
      <c r="F126" s="247"/>
      <c r="G126" s="248">
        <f t="shared" si="28"/>
        <v>0</v>
      </c>
      <c r="H126" s="177"/>
      <c r="I126" s="177"/>
      <c r="J126" s="555"/>
      <c r="K126" s="142"/>
    </row>
    <row r="127" spans="1:11" ht="15.75">
      <c r="A127" s="140">
        <v>1</v>
      </c>
      <c r="B127" s="155" t="s">
        <v>41</v>
      </c>
      <c r="C127" s="137" t="s">
        <v>148</v>
      </c>
      <c r="D127" s="249">
        <f t="shared" si="30"/>
        <v>72</v>
      </c>
      <c r="E127" s="249">
        <v>72</v>
      </c>
      <c r="F127" s="249"/>
      <c r="G127" s="248">
        <f t="shared" si="28"/>
        <v>0</v>
      </c>
      <c r="H127" s="180"/>
      <c r="I127" s="180"/>
      <c r="J127" s="555"/>
      <c r="K127" s="156"/>
    </row>
    <row r="128" spans="1:11" ht="15.75">
      <c r="A128" s="140">
        <v>1</v>
      </c>
      <c r="B128" s="150" t="s">
        <v>42</v>
      </c>
      <c r="C128" s="192" t="s">
        <v>42</v>
      </c>
      <c r="D128" s="249">
        <f t="shared" si="30"/>
        <v>17</v>
      </c>
      <c r="E128" s="249">
        <v>17</v>
      </c>
      <c r="F128" s="249"/>
      <c r="G128" s="248">
        <f t="shared" si="28"/>
        <v>0</v>
      </c>
      <c r="H128" s="180"/>
      <c r="I128" s="180"/>
      <c r="J128" s="555"/>
      <c r="K128" s="156"/>
    </row>
    <row r="129" spans="1:11" ht="15.75">
      <c r="A129" s="140">
        <v>2</v>
      </c>
      <c r="B129" s="152" t="s">
        <v>43</v>
      </c>
      <c r="C129" s="193" t="s">
        <v>43</v>
      </c>
      <c r="D129" s="249">
        <f t="shared" si="30"/>
        <v>17</v>
      </c>
      <c r="E129" s="249">
        <v>17</v>
      </c>
      <c r="F129" s="249"/>
      <c r="G129" s="248">
        <f t="shared" si="28"/>
        <v>0</v>
      </c>
      <c r="H129" s="180"/>
      <c r="I129" s="180"/>
      <c r="J129" s="555"/>
      <c r="K129" s="156"/>
    </row>
    <row r="130" spans="1:11" ht="15.75">
      <c r="A130" s="140">
        <v>3</v>
      </c>
      <c r="B130" s="152" t="s">
        <v>44</v>
      </c>
      <c r="C130" s="193" t="s">
        <v>44</v>
      </c>
      <c r="D130" s="249">
        <f t="shared" si="30"/>
        <v>17</v>
      </c>
      <c r="E130" s="249">
        <v>17</v>
      </c>
      <c r="F130" s="249"/>
      <c r="G130" s="248">
        <f t="shared" si="28"/>
        <v>0</v>
      </c>
      <c r="H130" s="180"/>
      <c r="I130" s="180"/>
      <c r="J130" s="555"/>
      <c r="K130" s="156"/>
    </row>
    <row r="131" spans="1:11" ht="15.75">
      <c r="A131" s="140">
        <v>4</v>
      </c>
      <c r="B131" s="152" t="s">
        <v>52</v>
      </c>
      <c r="C131" s="193" t="s">
        <v>52</v>
      </c>
      <c r="D131" s="249">
        <f t="shared" si="30"/>
        <v>17</v>
      </c>
      <c r="E131" s="249">
        <v>17</v>
      </c>
      <c r="F131" s="249"/>
      <c r="G131" s="248">
        <f t="shared" si="28"/>
        <v>0</v>
      </c>
      <c r="H131" s="180"/>
      <c r="I131" s="180"/>
      <c r="J131" s="555"/>
      <c r="K131" s="156"/>
    </row>
    <row r="132" spans="1:11" ht="15.75">
      <c r="A132" s="140">
        <v>5</v>
      </c>
      <c r="B132" s="152" t="s">
        <v>51</v>
      </c>
      <c r="C132" s="193" t="s">
        <v>51</v>
      </c>
      <c r="D132" s="249">
        <f t="shared" si="30"/>
        <v>17</v>
      </c>
      <c r="E132" s="249">
        <v>17</v>
      </c>
      <c r="F132" s="249"/>
      <c r="G132" s="248">
        <f t="shared" si="28"/>
        <v>0</v>
      </c>
      <c r="H132" s="180"/>
      <c r="I132" s="180"/>
      <c r="J132" s="555"/>
      <c r="K132" s="156"/>
    </row>
    <row r="133" spans="1:11" ht="15.75">
      <c r="A133" s="140">
        <v>6</v>
      </c>
      <c r="B133" s="152" t="s">
        <v>45</v>
      </c>
      <c r="C133" s="193" t="s">
        <v>45</v>
      </c>
      <c r="D133" s="249">
        <f t="shared" si="30"/>
        <v>17</v>
      </c>
      <c r="E133" s="249">
        <v>17</v>
      </c>
      <c r="F133" s="249"/>
      <c r="G133" s="248">
        <f t="shared" si="28"/>
        <v>0</v>
      </c>
      <c r="H133" s="180"/>
      <c r="I133" s="180"/>
      <c r="J133" s="555"/>
      <c r="K133" s="156"/>
    </row>
    <row r="134" spans="1:11" ht="15.75">
      <c r="A134" s="140">
        <v>7</v>
      </c>
      <c r="B134" s="152" t="s">
        <v>46</v>
      </c>
      <c r="C134" s="193" t="s">
        <v>46</v>
      </c>
      <c r="D134" s="249">
        <f t="shared" si="30"/>
        <v>17</v>
      </c>
      <c r="E134" s="249">
        <v>17</v>
      </c>
      <c r="F134" s="249"/>
      <c r="G134" s="248">
        <f t="shared" si="28"/>
        <v>0</v>
      </c>
      <c r="H134" s="180"/>
      <c r="I134" s="180"/>
      <c r="J134" s="555"/>
      <c r="K134" s="156"/>
    </row>
    <row r="135" spans="1:11" ht="15.75">
      <c r="A135" s="140">
        <v>8</v>
      </c>
      <c r="B135" s="152" t="s">
        <v>47</v>
      </c>
      <c r="C135" s="193" t="s">
        <v>47</v>
      </c>
      <c r="D135" s="249">
        <f t="shared" ref="D135:D138" si="33">SUM(E135:K135)</f>
        <v>17</v>
      </c>
      <c r="E135" s="249">
        <v>17</v>
      </c>
      <c r="F135" s="249"/>
      <c r="G135" s="248">
        <f t="shared" si="28"/>
        <v>0</v>
      </c>
      <c r="H135" s="180"/>
      <c r="I135" s="180"/>
      <c r="J135" s="555"/>
      <c r="K135" s="156"/>
    </row>
    <row r="136" spans="1:11" ht="15.75">
      <c r="A136" s="140">
        <v>9</v>
      </c>
      <c r="B136" s="152" t="s">
        <v>48</v>
      </c>
      <c r="C136" s="193" t="s">
        <v>48</v>
      </c>
      <c r="D136" s="249">
        <f t="shared" si="33"/>
        <v>17</v>
      </c>
      <c r="E136" s="249">
        <v>17</v>
      </c>
      <c r="F136" s="249"/>
      <c r="G136" s="248">
        <f t="shared" si="28"/>
        <v>0</v>
      </c>
      <c r="H136" s="180"/>
      <c r="I136" s="180"/>
      <c r="J136" s="555"/>
      <c r="K136" s="156"/>
    </row>
    <row r="137" spans="1:11" ht="15.75">
      <c r="A137" s="140">
        <v>10</v>
      </c>
      <c r="B137" s="152" t="s">
        <v>49</v>
      </c>
      <c r="C137" s="193" t="s">
        <v>49</v>
      </c>
      <c r="D137" s="249">
        <f t="shared" si="33"/>
        <v>17</v>
      </c>
      <c r="E137" s="249">
        <v>17</v>
      </c>
      <c r="F137" s="249"/>
      <c r="G137" s="248">
        <f t="shared" si="28"/>
        <v>0</v>
      </c>
      <c r="H137" s="180"/>
      <c r="I137" s="180"/>
      <c r="J137" s="555"/>
      <c r="K137" s="156"/>
    </row>
    <row r="138" spans="1:11" ht="15.75">
      <c r="A138" s="140">
        <v>11</v>
      </c>
      <c r="B138" s="152" t="s">
        <v>50</v>
      </c>
      <c r="C138" s="193" t="s">
        <v>50</v>
      </c>
      <c r="D138" s="249">
        <f t="shared" si="33"/>
        <v>17</v>
      </c>
      <c r="E138" s="249">
        <v>17</v>
      </c>
      <c r="F138" s="249"/>
      <c r="G138" s="248">
        <f t="shared" si="28"/>
        <v>0</v>
      </c>
      <c r="H138" s="181"/>
      <c r="I138" s="181"/>
      <c r="J138" s="555"/>
      <c r="K138" s="160"/>
    </row>
    <row r="139" spans="1:11" ht="38.25" customHeight="1">
      <c r="A139" s="241" t="s">
        <v>146</v>
      </c>
      <c r="B139" s="675" t="s">
        <v>839</v>
      </c>
      <c r="C139" s="676"/>
      <c r="D139" s="246">
        <f>D140+D147</f>
        <v>3562.6170000000002</v>
      </c>
      <c r="E139" s="246">
        <f t="shared" ref="E139:H139" si="34">E140+E147</f>
        <v>3150</v>
      </c>
      <c r="F139" s="246">
        <f t="shared" si="34"/>
        <v>412.61700000000002</v>
      </c>
      <c r="G139" s="246">
        <f t="shared" ref="G139:G202" si="35">H139+I139</f>
        <v>0</v>
      </c>
      <c r="H139" s="246">
        <f t="shared" si="34"/>
        <v>0</v>
      </c>
      <c r="I139" s="246"/>
      <c r="J139" s="558">
        <f>G139/D139*100</f>
        <v>0</v>
      </c>
      <c r="K139" s="242"/>
    </row>
    <row r="140" spans="1:11" ht="15.75">
      <c r="A140" s="544" t="s">
        <v>827</v>
      </c>
      <c r="B140" s="673" t="s">
        <v>815</v>
      </c>
      <c r="C140" s="674"/>
      <c r="D140" s="545">
        <f>SUM(D141:D146)</f>
        <v>412.61700000000002</v>
      </c>
      <c r="E140" s="545">
        <f t="shared" ref="E140:H140" si="36">SUM(E141:E146)</f>
        <v>0</v>
      </c>
      <c r="F140" s="545">
        <f t="shared" si="36"/>
        <v>412.61700000000002</v>
      </c>
      <c r="G140" s="545">
        <f t="shared" si="35"/>
        <v>0</v>
      </c>
      <c r="H140" s="545">
        <f t="shared" si="36"/>
        <v>0</v>
      </c>
      <c r="I140" s="545"/>
      <c r="J140" s="545">
        <f t="shared" ref="J140:J197" si="37">G140/D140*100</f>
        <v>0</v>
      </c>
      <c r="K140" s="546"/>
    </row>
    <row r="141" spans="1:11" s="476" customFormat="1" ht="24" customHeight="1">
      <c r="A141" s="479">
        <v>1</v>
      </c>
      <c r="B141" s="477" t="s">
        <v>789</v>
      </c>
      <c r="C141" s="677" t="s">
        <v>790</v>
      </c>
      <c r="D141" s="491">
        <f>F141</f>
        <v>100</v>
      </c>
      <c r="E141" s="491"/>
      <c r="F141" s="491">
        <f>sn!F34</f>
        <v>100</v>
      </c>
      <c r="G141" s="248">
        <f t="shared" si="35"/>
        <v>0</v>
      </c>
      <c r="H141" s="492"/>
      <c r="I141" s="492"/>
      <c r="J141" s="555">
        <f t="shared" si="37"/>
        <v>0</v>
      </c>
      <c r="K141" s="493"/>
    </row>
    <row r="142" spans="1:11" s="476" customFormat="1" ht="36.75" customHeight="1">
      <c r="A142" s="479">
        <v>2</v>
      </c>
      <c r="B142" s="477" t="s">
        <v>791</v>
      </c>
      <c r="C142" s="678"/>
      <c r="D142" s="491">
        <f t="shared" ref="D142:D146" si="38">F142</f>
        <v>19.40300000000002</v>
      </c>
      <c r="E142" s="491"/>
      <c r="F142" s="491">
        <f>sn!F35</f>
        <v>19.40300000000002</v>
      </c>
      <c r="G142" s="248">
        <f t="shared" si="35"/>
        <v>0</v>
      </c>
      <c r="H142" s="492"/>
      <c r="I142" s="492"/>
      <c r="J142" s="555">
        <f t="shared" si="37"/>
        <v>0</v>
      </c>
      <c r="K142" s="493"/>
    </row>
    <row r="143" spans="1:11" s="476" customFormat="1" ht="24" customHeight="1">
      <c r="A143" s="479">
        <v>4</v>
      </c>
      <c r="B143" s="477" t="s">
        <v>814</v>
      </c>
      <c r="C143" s="478" t="s">
        <v>792</v>
      </c>
      <c r="D143" s="491">
        <f t="shared" si="38"/>
        <v>100</v>
      </c>
      <c r="E143" s="491"/>
      <c r="F143" s="491">
        <f>sn!F36</f>
        <v>100</v>
      </c>
      <c r="G143" s="248">
        <f t="shared" si="35"/>
        <v>0</v>
      </c>
      <c r="H143" s="492"/>
      <c r="I143" s="492"/>
      <c r="J143" s="555">
        <f t="shared" si="37"/>
        <v>0</v>
      </c>
      <c r="K143" s="493"/>
    </row>
    <row r="144" spans="1:11" s="476" customFormat="1" ht="28.5" customHeight="1">
      <c r="A144" s="479">
        <v>5</v>
      </c>
      <c r="B144" s="477" t="s">
        <v>793</v>
      </c>
      <c r="C144" s="478" t="s">
        <v>790</v>
      </c>
      <c r="D144" s="491">
        <f t="shared" si="38"/>
        <v>3.0699999999999932</v>
      </c>
      <c r="E144" s="491"/>
      <c r="F144" s="491">
        <f>sn!F37</f>
        <v>3.0699999999999932</v>
      </c>
      <c r="G144" s="248">
        <f t="shared" si="35"/>
        <v>0</v>
      </c>
      <c r="H144" s="492"/>
      <c r="I144" s="492"/>
      <c r="J144" s="555">
        <f t="shared" si="37"/>
        <v>0</v>
      </c>
      <c r="K144" s="493"/>
    </row>
    <row r="145" spans="1:15" s="476" customFormat="1" ht="24" customHeight="1">
      <c r="A145" s="479">
        <v>1</v>
      </c>
      <c r="B145" s="477" t="s">
        <v>817</v>
      </c>
      <c r="C145" s="478" t="s">
        <v>62</v>
      </c>
      <c r="D145" s="491">
        <f t="shared" si="38"/>
        <v>0.14400000000000546</v>
      </c>
      <c r="E145" s="491"/>
      <c r="F145" s="491">
        <f>sn!F39</f>
        <v>0.14400000000000546</v>
      </c>
      <c r="G145" s="248">
        <f t="shared" si="35"/>
        <v>0</v>
      </c>
      <c r="H145" s="492"/>
      <c r="I145" s="492"/>
      <c r="J145" s="555">
        <f t="shared" si="37"/>
        <v>0</v>
      </c>
      <c r="K145" s="493"/>
    </row>
    <row r="146" spans="1:15" s="476" customFormat="1" ht="24" customHeight="1">
      <c r="A146" s="479">
        <v>7</v>
      </c>
      <c r="B146" s="477" t="s">
        <v>818</v>
      </c>
      <c r="C146" s="478" t="s">
        <v>46</v>
      </c>
      <c r="D146" s="491">
        <f t="shared" si="38"/>
        <v>190</v>
      </c>
      <c r="E146" s="491"/>
      <c r="F146" s="491">
        <f>sn!F40</f>
        <v>190</v>
      </c>
      <c r="G146" s="248">
        <f t="shared" si="35"/>
        <v>0</v>
      </c>
      <c r="H146" s="492"/>
      <c r="I146" s="492"/>
      <c r="J146" s="555">
        <f t="shared" si="37"/>
        <v>0</v>
      </c>
      <c r="K146" s="493"/>
    </row>
    <row r="147" spans="1:15" ht="15.75">
      <c r="A147" s="544" t="s">
        <v>829</v>
      </c>
      <c r="B147" s="673" t="s">
        <v>830</v>
      </c>
      <c r="C147" s="674"/>
      <c r="D147" s="545">
        <f>D148+D150+D152+D154+D156+D158+D160+D172+D184</f>
        <v>3150</v>
      </c>
      <c r="E147" s="545">
        <f t="shared" ref="E147:H147" si="39">E148+E150+E152+E154+E156+E158+E160+E172+E184</f>
        <v>3150</v>
      </c>
      <c r="F147" s="545">
        <f t="shared" si="39"/>
        <v>0</v>
      </c>
      <c r="G147" s="248">
        <f t="shared" si="35"/>
        <v>0</v>
      </c>
      <c r="H147" s="545">
        <f t="shared" si="39"/>
        <v>0</v>
      </c>
      <c r="I147" s="545"/>
      <c r="J147" s="555">
        <f t="shared" si="37"/>
        <v>0</v>
      </c>
      <c r="K147" s="546"/>
    </row>
    <row r="148" spans="1:15" s="486" customFormat="1" ht="18.75" customHeight="1">
      <c r="A148" s="480" t="s">
        <v>3</v>
      </c>
      <c r="B148" s="481" t="s">
        <v>432</v>
      </c>
      <c r="C148" s="482"/>
      <c r="D148" s="483">
        <f>D149</f>
        <v>400</v>
      </c>
      <c r="E148" s="483">
        <v>400</v>
      </c>
      <c r="F148" s="483"/>
      <c r="G148" s="248">
        <f t="shared" si="35"/>
        <v>0</v>
      </c>
      <c r="H148" s="484"/>
      <c r="I148" s="484"/>
      <c r="J148" s="555">
        <f t="shared" si="37"/>
        <v>0</v>
      </c>
      <c r="K148" s="485"/>
      <c r="N148" s="470"/>
      <c r="O148" s="471"/>
    </row>
    <row r="149" spans="1:15" s="476" customFormat="1" ht="15.75">
      <c r="A149" s="487" t="s">
        <v>29</v>
      </c>
      <c r="B149" s="477" t="s">
        <v>462</v>
      </c>
      <c r="C149" s="478" t="s">
        <v>801</v>
      </c>
      <c r="D149" s="488">
        <f>E149</f>
        <v>400</v>
      </c>
      <c r="E149" s="488">
        <v>400</v>
      </c>
      <c r="F149" s="488"/>
      <c r="G149" s="248">
        <f t="shared" si="35"/>
        <v>0</v>
      </c>
      <c r="H149" s="489"/>
      <c r="I149" s="489"/>
      <c r="J149" s="555">
        <f t="shared" si="37"/>
        <v>0</v>
      </c>
      <c r="K149" s="490"/>
    </row>
    <row r="150" spans="1:15" s="165" customFormat="1" ht="33.75" customHeight="1">
      <c r="A150" s="162" t="s">
        <v>5</v>
      </c>
      <c r="B150" s="164" t="s">
        <v>460</v>
      </c>
      <c r="C150" s="196"/>
      <c r="D150" s="251">
        <f>D151</f>
        <v>500</v>
      </c>
      <c r="E150" s="251">
        <f>E151</f>
        <v>500</v>
      </c>
      <c r="F150" s="251"/>
      <c r="G150" s="248">
        <f t="shared" si="35"/>
        <v>0</v>
      </c>
      <c r="H150" s="183"/>
      <c r="I150" s="183"/>
      <c r="J150" s="555">
        <f t="shared" si="37"/>
        <v>0</v>
      </c>
      <c r="K150" s="163"/>
    </row>
    <row r="151" spans="1:15" ht="15.75">
      <c r="A151" s="170" t="s">
        <v>29</v>
      </c>
      <c r="B151" s="166" t="s">
        <v>462</v>
      </c>
      <c r="C151" s="197" t="s">
        <v>801</v>
      </c>
      <c r="D151" s="252">
        <f>E151</f>
        <v>500</v>
      </c>
      <c r="E151" s="252">
        <v>500</v>
      </c>
      <c r="F151" s="252"/>
      <c r="G151" s="248">
        <f t="shared" si="35"/>
        <v>0</v>
      </c>
      <c r="H151" s="232"/>
      <c r="I151" s="232"/>
      <c r="J151" s="555">
        <f t="shared" si="37"/>
        <v>0</v>
      </c>
      <c r="K151" s="233"/>
    </row>
    <row r="152" spans="1:15" s="165" customFormat="1" ht="53.25" customHeight="1">
      <c r="A152" s="162" t="s">
        <v>13</v>
      </c>
      <c r="B152" s="164" t="s">
        <v>834</v>
      </c>
      <c r="C152" s="196"/>
      <c r="D152" s="251">
        <f>D153</f>
        <v>50</v>
      </c>
      <c r="E152" s="251">
        <f>E153</f>
        <v>50</v>
      </c>
      <c r="F152" s="251"/>
      <c r="G152" s="248">
        <f t="shared" si="35"/>
        <v>0</v>
      </c>
      <c r="H152" s="183"/>
      <c r="I152" s="183"/>
      <c r="J152" s="555"/>
      <c r="K152" s="163"/>
    </row>
    <row r="153" spans="1:15" ht="15.75">
      <c r="A153" s="172" t="s">
        <v>29</v>
      </c>
      <c r="B153" s="166" t="s">
        <v>462</v>
      </c>
      <c r="C153" s="197" t="s">
        <v>801</v>
      </c>
      <c r="D153" s="253">
        <f>SUM(E153:K153)</f>
        <v>50</v>
      </c>
      <c r="E153" s="254">
        <v>50</v>
      </c>
      <c r="F153" s="254"/>
      <c r="G153" s="248">
        <f t="shared" si="35"/>
        <v>0</v>
      </c>
      <c r="H153" s="185"/>
      <c r="I153" s="185"/>
      <c r="J153" s="555"/>
      <c r="K153" s="168"/>
    </row>
    <row r="154" spans="1:15" s="165" customFormat="1" ht="16.5" customHeight="1">
      <c r="A154" s="162" t="s">
        <v>14</v>
      </c>
      <c r="B154" s="164" t="s">
        <v>433</v>
      </c>
      <c r="C154" s="196"/>
      <c r="D154" s="251">
        <f>D155</f>
        <v>85</v>
      </c>
      <c r="E154" s="251">
        <f>E155</f>
        <v>85</v>
      </c>
      <c r="F154" s="251"/>
      <c r="G154" s="248">
        <f t="shared" si="35"/>
        <v>0</v>
      </c>
      <c r="H154" s="183"/>
      <c r="I154" s="183"/>
      <c r="J154" s="555"/>
      <c r="K154" s="163"/>
    </row>
    <row r="155" spans="1:15" ht="15.75">
      <c r="A155" s="172" t="s">
        <v>29</v>
      </c>
      <c r="B155" s="166" t="s">
        <v>462</v>
      </c>
      <c r="C155" s="197" t="s">
        <v>801</v>
      </c>
      <c r="D155" s="253">
        <f>E155</f>
        <v>85</v>
      </c>
      <c r="E155" s="254">
        <v>85</v>
      </c>
      <c r="F155" s="254"/>
      <c r="G155" s="248">
        <f t="shared" si="35"/>
        <v>0</v>
      </c>
      <c r="H155" s="185"/>
      <c r="I155" s="185"/>
      <c r="J155" s="555"/>
      <c r="K155" s="168"/>
    </row>
    <row r="156" spans="1:15" s="165" customFormat="1" ht="31.5" customHeight="1">
      <c r="A156" s="162" t="s">
        <v>147</v>
      </c>
      <c r="B156" s="164" t="s">
        <v>434</v>
      </c>
      <c r="C156" s="196"/>
      <c r="D156" s="251">
        <f>D157</f>
        <v>50</v>
      </c>
      <c r="E156" s="251">
        <f>E157</f>
        <v>50</v>
      </c>
      <c r="F156" s="251"/>
      <c r="G156" s="248">
        <f t="shared" si="35"/>
        <v>0</v>
      </c>
      <c r="H156" s="183"/>
      <c r="I156" s="183"/>
      <c r="J156" s="555"/>
      <c r="K156" s="163"/>
    </row>
    <row r="157" spans="1:15" ht="15.75">
      <c r="A157" s="172" t="s">
        <v>29</v>
      </c>
      <c r="B157" s="155" t="s">
        <v>435</v>
      </c>
      <c r="C157" s="137" t="s">
        <v>435</v>
      </c>
      <c r="D157" s="253">
        <f>SUM(E157:K157)</f>
        <v>50</v>
      </c>
      <c r="E157" s="254">
        <v>50</v>
      </c>
      <c r="F157" s="254"/>
      <c r="G157" s="248">
        <f t="shared" si="35"/>
        <v>0</v>
      </c>
      <c r="H157" s="185"/>
      <c r="I157" s="185"/>
      <c r="J157" s="555"/>
      <c r="K157" s="168"/>
    </row>
    <row r="158" spans="1:15" s="165" customFormat="1" ht="39" customHeight="1">
      <c r="A158" s="162" t="s">
        <v>15</v>
      </c>
      <c r="B158" s="164" t="s">
        <v>436</v>
      </c>
      <c r="C158" s="196"/>
      <c r="D158" s="251">
        <f>D159</f>
        <v>200</v>
      </c>
      <c r="E158" s="251">
        <f>E159</f>
        <v>200</v>
      </c>
      <c r="F158" s="251"/>
      <c r="G158" s="248">
        <f t="shared" si="35"/>
        <v>0</v>
      </c>
      <c r="H158" s="183"/>
      <c r="I158" s="183"/>
      <c r="J158" s="555"/>
      <c r="K158" s="163"/>
    </row>
    <row r="159" spans="1:15" ht="15.75">
      <c r="A159" s="172" t="s">
        <v>29</v>
      </c>
      <c r="B159" s="166" t="s">
        <v>463</v>
      </c>
      <c r="C159" s="197" t="s">
        <v>832</v>
      </c>
      <c r="D159" s="253">
        <f>SUM(E159:K159)</f>
        <v>200</v>
      </c>
      <c r="E159" s="254">
        <v>200</v>
      </c>
      <c r="F159" s="254"/>
      <c r="G159" s="248">
        <f t="shared" si="35"/>
        <v>0</v>
      </c>
      <c r="H159" s="184"/>
      <c r="I159" s="184"/>
      <c r="J159" s="555"/>
      <c r="K159" s="168"/>
    </row>
    <row r="160" spans="1:15" s="165" customFormat="1" ht="39.75" customHeight="1">
      <c r="A160" s="162" t="s">
        <v>16</v>
      </c>
      <c r="B160" s="164" t="s">
        <v>835</v>
      </c>
      <c r="C160" s="196"/>
      <c r="D160" s="251">
        <f>SUM(D161:D171)</f>
        <v>1000</v>
      </c>
      <c r="E160" s="251">
        <f t="shared" ref="E160:H160" si="40">SUM(E161:E171)</f>
        <v>1000</v>
      </c>
      <c r="F160" s="251"/>
      <c r="G160" s="248">
        <f t="shared" si="35"/>
        <v>0</v>
      </c>
      <c r="H160" s="183">
        <f t="shared" si="40"/>
        <v>0</v>
      </c>
      <c r="I160" s="183"/>
      <c r="J160" s="555"/>
      <c r="K160" s="163"/>
    </row>
    <row r="161" spans="1:11" ht="15.75">
      <c r="A161" s="167">
        <v>1</v>
      </c>
      <c r="B161" s="166" t="s">
        <v>62</v>
      </c>
      <c r="C161" s="197" t="s">
        <v>62</v>
      </c>
      <c r="D161" s="254">
        <f>E161</f>
        <v>90</v>
      </c>
      <c r="E161" s="254">
        <v>90</v>
      </c>
      <c r="F161" s="254"/>
      <c r="G161" s="248">
        <f t="shared" si="35"/>
        <v>0</v>
      </c>
      <c r="H161" s="184"/>
      <c r="I161" s="184"/>
      <c r="J161" s="555">
        <f t="shared" si="37"/>
        <v>0</v>
      </c>
      <c r="K161" s="168"/>
    </row>
    <row r="162" spans="1:11" ht="15.75">
      <c r="A162" s="167">
        <v>2</v>
      </c>
      <c r="B162" s="166" t="s">
        <v>51</v>
      </c>
      <c r="C162" s="197" t="s">
        <v>51</v>
      </c>
      <c r="D162" s="254">
        <f t="shared" ref="D162:D188" si="41">E162</f>
        <v>90</v>
      </c>
      <c r="E162" s="254">
        <v>90</v>
      </c>
      <c r="F162" s="254"/>
      <c r="G162" s="248">
        <f t="shared" si="35"/>
        <v>0</v>
      </c>
      <c r="H162" s="184"/>
      <c r="I162" s="184"/>
      <c r="J162" s="555">
        <f t="shared" si="37"/>
        <v>0</v>
      </c>
      <c r="K162" s="168"/>
    </row>
    <row r="163" spans="1:11" ht="15.75">
      <c r="A163" s="167">
        <v>3</v>
      </c>
      <c r="B163" s="166" t="s">
        <v>42</v>
      </c>
      <c r="C163" s="197" t="s">
        <v>42</v>
      </c>
      <c r="D163" s="254">
        <f t="shared" si="41"/>
        <v>90</v>
      </c>
      <c r="E163" s="254">
        <v>90</v>
      </c>
      <c r="F163" s="254"/>
      <c r="G163" s="248">
        <f t="shared" si="35"/>
        <v>0</v>
      </c>
      <c r="H163" s="184"/>
      <c r="I163" s="184"/>
      <c r="J163" s="555">
        <f t="shared" si="37"/>
        <v>0</v>
      </c>
      <c r="K163" s="168"/>
    </row>
    <row r="164" spans="1:11" ht="15.75">
      <c r="A164" s="167">
        <v>4</v>
      </c>
      <c r="B164" s="166" t="s">
        <v>63</v>
      </c>
      <c r="C164" s="197" t="s">
        <v>63</v>
      </c>
      <c r="D164" s="254">
        <f t="shared" si="41"/>
        <v>100</v>
      </c>
      <c r="E164" s="254">
        <v>100</v>
      </c>
      <c r="F164" s="254"/>
      <c r="G164" s="248">
        <f t="shared" si="35"/>
        <v>0</v>
      </c>
      <c r="H164" s="184"/>
      <c r="I164" s="184"/>
      <c r="J164" s="555">
        <f t="shared" si="37"/>
        <v>0</v>
      </c>
      <c r="K164" s="168"/>
    </row>
    <row r="165" spans="1:11" ht="15.75">
      <c r="A165" s="167">
        <v>5</v>
      </c>
      <c r="B165" s="152" t="s">
        <v>52</v>
      </c>
      <c r="C165" s="193" t="s">
        <v>52</v>
      </c>
      <c r="D165" s="254">
        <f t="shared" si="41"/>
        <v>90</v>
      </c>
      <c r="E165" s="254">
        <v>90</v>
      </c>
      <c r="F165" s="254"/>
      <c r="G165" s="248">
        <f t="shared" si="35"/>
        <v>0</v>
      </c>
      <c r="H165" s="184"/>
      <c r="I165" s="184"/>
      <c r="J165" s="555">
        <f t="shared" si="37"/>
        <v>0</v>
      </c>
      <c r="K165" s="168"/>
    </row>
    <row r="166" spans="1:11" ht="15.75">
      <c r="A166" s="167">
        <v>6</v>
      </c>
      <c r="B166" s="166" t="s">
        <v>45</v>
      </c>
      <c r="C166" s="197" t="s">
        <v>45</v>
      </c>
      <c r="D166" s="254">
        <f t="shared" si="41"/>
        <v>90</v>
      </c>
      <c r="E166" s="254">
        <v>90</v>
      </c>
      <c r="F166" s="254"/>
      <c r="G166" s="248">
        <f t="shared" si="35"/>
        <v>0</v>
      </c>
      <c r="H166" s="184"/>
      <c r="I166" s="184"/>
      <c r="J166" s="555">
        <f t="shared" si="37"/>
        <v>0</v>
      </c>
      <c r="K166" s="168"/>
    </row>
    <row r="167" spans="1:11" ht="15.75">
      <c r="A167" s="167">
        <v>7</v>
      </c>
      <c r="B167" s="166" t="s">
        <v>46</v>
      </c>
      <c r="C167" s="197" t="s">
        <v>46</v>
      </c>
      <c r="D167" s="254">
        <f t="shared" si="41"/>
        <v>90</v>
      </c>
      <c r="E167" s="254">
        <v>90</v>
      </c>
      <c r="F167" s="254"/>
      <c r="G167" s="248">
        <f t="shared" si="35"/>
        <v>0</v>
      </c>
      <c r="H167" s="184"/>
      <c r="I167" s="184"/>
      <c r="J167" s="555">
        <f t="shared" si="37"/>
        <v>0</v>
      </c>
      <c r="K167" s="168"/>
    </row>
    <row r="168" spans="1:11" ht="15.75">
      <c r="A168" s="167">
        <v>8</v>
      </c>
      <c r="B168" s="166" t="s">
        <v>64</v>
      </c>
      <c r="C168" s="197" t="s">
        <v>64</v>
      </c>
      <c r="D168" s="254">
        <f t="shared" si="41"/>
        <v>90</v>
      </c>
      <c r="E168" s="254">
        <v>90</v>
      </c>
      <c r="F168" s="254"/>
      <c r="G168" s="248">
        <f t="shared" si="35"/>
        <v>0</v>
      </c>
      <c r="H168" s="184"/>
      <c r="I168" s="184"/>
      <c r="J168" s="555">
        <f t="shared" si="37"/>
        <v>0</v>
      </c>
      <c r="K168" s="168"/>
    </row>
    <row r="169" spans="1:11" ht="15.75">
      <c r="A169" s="167">
        <v>9</v>
      </c>
      <c r="B169" s="166" t="s">
        <v>65</v>
      </c>
      <c r="C169" s="197" t="s">
        <v>65</v>
      </c>
      <c r="D169" s="254">
        <f t="shared" si="41"/>
        <v>90</v>
      </c>
      <c r="E169" s="254">
        <v>90</v>
      </c>
      <c r="F169" s="254"/>
      <c r="G169" s="248">
        <f t="shared" si="35"/>
        <v>0</v>
      </c>
      <c r="H169" s="184"/>
      <c r="I169" s="184"/>
      <c r="J169" s="555">
        <f t="shared" si="37"/>
        <v>0</v>
      </c>
      <c r="K169" s="168"/>
    </row>
    <row r="170" spans="1:11" ht="15.75">
      <c r="A170" s="167">
        <v>10</v>
      </c>
      <c r="B170" s="166" t="s">
        <v>66</v>
      </c>
      <c r="C170" s="197" t="s">
        <v>66</v>
      </c>
      <c r="D170" s="254">
        <f t="shared" si="41"/>
        <v>90</v>
      </c>
      <c r="E170" s="254">
        <v>90</v>
      </c>
      <c r="F170" s="254"/>
      <c r="G170" s="248">
        <f t="shared" si="35"/>
        <v>0</v>
      </c>
      <c r="H170" s="184"/>
      <c r="I170" s="184"/>
      <c r="J170" s="555">
        <f t="shared" si="37"/>
        <v>0</v>
      </c>
      <c r="K170" s="168"/>
    </row>
    <row r="171" spans="1:11" ht="15.75">
      <c r="A171" s="167">
        <v>11</v>
      </c>
      <c r="B171" s="166" t="s">
        <v>44</v>
      </c>
      <c r="C171" s="197" t="s">
        <v>44</v>
      </c>
      <c r="D171" s="254">
        <f t="shared" si="41"/>
        <v>90</v>
      </c>
      <c r="E171" s="254">
        <v>90</v>
      </c>
      <c r="F171" s="254"/>
      <c r="G171" s="248">
        <f t="shared" si="35"/>
        <v>0</v>
      </c>
      <c r="H171" s="184"/>
      <c r="I171" s="184"/>
      <c r="J171" s="555">
        <f t="shared" si="37"/>
        <v>0</v>
      </c>
      <c r="K171" s="168"/>
    </row>
    <row r="172" spans="1:11" s="165" customFormat="1" ht="18.75" customHeight="1">
      <c r="A172" s="162" t="s">
        <v>485</v>
      </c>
      <c r="B172" s="164" t="s">
        <v>433</v>
      </c>
      <c r="C172" s="234"/>
      <c r="D172" s="255">
        <f>SUM(D173:D183)</f>
        <v>165</v>
      </c>
      <c r="E172" s="255">
        <f>SUM(E173:E183)</f>
        <v>165</v>
      </c>
      <c r="F172" s="255"/>
      <c r="G172" s="248">
        <f t="shared" si="35"/>
        <v>0</v>
      </c>
      <c r="H172" s="183"/>
      <c r="I172" s="183"/>
      <c r="J172" s="555">
        <f t="shared" si="37"/>
        <v>0</v>
      </c>
      <c r="K172" s="163"/>
    </row>
    <row r="173" spans="1:11" ht="15.75">
      <c r="A173" s="167">
        <v>1</v>
      </c>
      <c r="B173" s="166" t="s">
        <v>62</v>
      </c>
      <c r="C173" s="197" t="s">
        <v>62</v>
      </c>
      <c r="D173" s="254">
        <f t="shared" si="41"/>
        <v>15</v>
      </c>
      <c r="E173" s="254">
        <v>15</v>
      </c>
      <c r="F173" s="254"/>
      <c r="G173" s="248">
        <f t="shared" si="35"/>
        <v>0</v>
      </c>
      <c r="H173" s="182"/>
      <c r="I173" s="182"/>
      <c r="J173" s="555">
        <f t="shared" si="37"/>
        <v>0</v>
      </c>
      <c r="K173" s="161"/>
    </row>
    <row r="174" spans="1:11" ht="15.75">
      <c r="A174" s="167">
        <v>2</v>
      </c>
      <c r="B174" s="166" t="s">
        <v>51</v>
      </c>
      <c r="C174" s="197" t="s">
        <v>51</v>
      </c>
      <c r="D174" s="254">
        <f t="shared" si="41"/>
        <v>15</v>
      </c>
      <c r="E174" s="254">
        <v>15</v>
      </c>
      <c r="F174" s="254"/>
      <c r="G174" s="248">
        <f t="shared" si="35"/>
        <v>0</v>
      </c>
      <c r="H174" s="182"/>
      <c r="I174" s="182"/>
      <c r="J174" s="555">
        <f t="shared" si="37"/>
        <v>0</v>
      </c>
      <c r="K174" s="161"/>
    </row>
    <row r="175" spans="1:11" ht="15.75">
      <c r="A175" s="167">
        <v>3</v>
      </c>
      <c r="B175" s="166" t="s">
        <v>42</v>
      </c>
      <c r="C175" s="197" t="s">
        <v>42</v>
      </c>
      <c r="D175" s="254">
        <f t="shared" si="41"/>
        <v>15</v>
      </c>
      <c r="E175" s="254">
        <v>15</v>
      </c>
      <c r="F175" s="254"/>
      <c r="G175" s="248">
        <f t="shared" si="35"/>
        <v>0</v>
      </c>
      <c r="H175" s="182"/>
      <c r="I175" s="182"/>
      <c r="J175" s="555">
        <f t="shared" si="37"/>
        <v>0</v>
      </c>
      <c r="K175" s="161"/>
    </row>
    <row r="176" spans="1:11" ht="15.75">
      <c r="A176" s="167">
        <v>4</v>
      </c>
      <c r="B176" s="166" t="s">
        <v>63</v>
      </c>
      <c r="C176" s="197" t="s">
        <v>63</v>
      </c>
      <c r="D176" s="254">
        <f t="shared" si="41"/>
        <v>15</v>
      </c>
      <c r="E176" s="254">
        <v>15</v>
      </c>
      <c r="F176" s="254"/>
      <c r="G176" s="248">
        <f t="shared" si="35"/>
        <v>0</v>
      </c>
      <c r="H176" s="182"/>
      <c r="I176" s="182"/>
      <c r="J176" s="555">
        <f t="shared" si="37"/>
        <v>0</v>
      </c>
      <c r="K176" s="161"/>
    </row>
    <row r="177" spans="1:11" ht="15.75">
      <c r="A177" s="167">
        <v>5</v>
      </c>
      <c r="B177" s="152" t="s">
        <v>52</v>
      </c>
      <c r="C177" s="193" t="s">
        <v>52</v>
      </c>
      <c r="D177" s="254">
        <f t="shared" si="41"/>
        <v>15</v>
      </c>
      <c r="E177" s="254">
        <v>15</v>
      </c>
      <c r="F177" s="254"/>
      <c r="G177" s="248">
        <f t="shared" si="35"/>
        <v>0</v>
      </c>
      <c r="H177" s="182"/>
      <c r="I177" s="182"/>
      <c r="J177" s="555">
        <f t="shared" si="37"/>
        <v>0</v>
      </c>
      <c r="K177" s="161"/>
    </row>
    <row r="178" spans="1:11" ht="15.75">
      <c r="A178" s="167">
        <v>6</v>
      </c>
      <c r="B178" s="166" t="s">
        <v>45</v>
      </c>
      <c r="C178" s="197" t="s">
        <v>45</v>
      </c>
      <c r="D178" s="254">
        <f t="shared" si="41"/>
        <v>15</v>
      </c>
      <c r="E178" s="254">
        <v>15</v>
      </c>
      <c r="F178" s="254"/>
      <c r="G178" s="248">
        <f t="shared" si="35"/>
        <v>0</v>
      </c>
      <c r="H178" s="182"/>
      <c r="I178" s="182"/>
      <c r="J178" s="555">
        <f t="shared" si="37"/>
        <v>0</v>
      </c>
      <c r="K178" s="161"/>
    </row>
    <row r="179" spans="1:11" ht="15.75">
      <c r="A179" s="167">
        <v>7</v>
      </c>
      <c r="B179" s="166" t="s">
        <v>46</v>
      </c>
      <c r="C179" s="197" t="s">
        <v>46</v>
      </c>
      <c r="D179" s="254">
        <f t="shared" si="41"/>
        <v>15</v>
      </c>
      <c r="E179" s="254">
        <v>15</v>
      </c>
      <c r="F179" s="254"/>
      <c r="G179" s="248">
        <f t="shared" si="35"/>
        <v>0</v>
      </c>
      <c r="H179" s="182"/>
      <c r="I179" s="182"/>
      <c r="J179" s="555">
        <f t="shared" si="37"/>
        <v>0</v>
      </c>
      <c r="K179" s="161"/>
    </row>
    <row r="180" spans="1:11" ht="15.75">
      <c r="A180" s="167">
        <v>8</v>
      </c>
      <c r="B180" s="166" t="s">
        <v>64</v>
      </c>
      <c r="C180" s="197" t="s">
        <v>64</v>
      </c>
      <c r="D180" s="254">
        <f t="shared" si="41"/>
        <v>15</v>
      </c>
      <c r="E180" s="254">
        <v>15</v>
      </c>
      <c r="F180" s="254"/>
      <c r="G180" s="248">
        <f t="shared" si="35"/>
        <v>0</v>
      </c>
      <c r="H180" s="182"/>
      <c r="I180" s="182"/>
      <c r="J180" s="555">
        <f t="shared" si="37"/>
        <v>0</v>
      </c>
      <c r="K180" s="161"/>
    </row>
    <row r="181" spans="1:11" ht="15.75">
      <c r="A181" s="167">
        <v>9</v>
      </c>
      <c r="B181" s="166" t="s">
        <v>65</v>
      </c>
      <c r="C181" s="197" t="s">
        <v>65</v>
      </c>
      <c r="D181" s="254">
        <f t="shared" si="41"/>
        <v>15</v>
      </c>
      <c r="E181" s="254">
        <v>15</v>
      </c>
      <c r="F181" s="254"/>
      <c r="G181" s="248">
        <f t="shared" si="35"/>
        <v>0</v>
      </c>
      <c r="H181" s="182"/>
      <c r="I181" s="182"/>
      <c r="J181" s="555">
        <f t="shared" si="37"/>
        <v>0</v>
      </c>
      <c r="K181" s="161"/>
    </row>
    <row r="182" spans="1:11" ht="15.75">
      <c r="A182" s="167">
        <v>10</v>
      </c>
      <c r="B182" s="166" t="s">
        <v>66</v>
      </c>
      <c r="C182" s="197" t="s">
        <v>66</v>
      </c>
      <c r="D182" s="254">
        <f t="shared" si="41"/>
        <v>15</v>
      </c>
      <c r="E182" s="254">
        <v>15</v>
      </c>
      <c r="F182" s="254"/>
      <c r="G182" s="248">
        <f t="shared" si="35"/>
        <v>0</v>
      </c>
      <c r="H182" s="182"/>
      <c r="I182" s="182"/>
      <c r="J182" s="555">
        <f t="shared" si="37"/>
        <v>0</v>
      </c>
      <c r="K182" s="161"/>
    </row>
    <row r="183" spans="1:11" ht="15.75">
      <c r="A183" s="167">
        <v>11</v>
      </c>
      <c r="B183" s="166" t="s">
        <v>44</v>
      </c>
      <c r="C183" s="197" t="s">
        <v>44</v>
      </c>
      <c r="D183" s="254">
        <f t="shared" si="41"/>
        <v>15</v>
      </c>
      <c r="E183" s="254">
        <v>15</v>
      </c>
      <c r="F183" s="254"/>
      <c r="G183" s="248">
        <f t="shared" si="35"/>
        <v>0</v>
      </c>
      <c r="H183" s="182"/>
      <c r="I183" s="182"/>
      <c r="J183" s="555">
        <f t="shared" si="37"/>
        <v>0</v>
      </c>
      <c r="K183" s="161"/>
    </row>
    <row r="184" spans="1:11" s="165" customFormat="1" ht="18" customHeight="1">
      <c r="A184" s="162" t="s">
        <v>486</v>
      </c>
      <c r="B184" s="164" t="s">
        <v>461</v>
      </c>
      <c r="C184" s="234"/>
      <c r="D184" s="255">
        <f>SUM(D185:D188)</f>
        <v>700</v>
      </c>
      <c r="E184" s="255">
        <f>SUM(E185:E188)</f>
        <v>700</v>
      </c>
      <c r="F184" s="255"/>
      <c r="G184" s="248">
        <f t="shared" si="35"/>
        <v>0</v>
      </c>
      <c r="H184" s="183"/>
      <c r="I184" s="183"/>
      <c r="J184" s="555">
        <f t="shared" si="37"/>
        <v>0</v>
      </c>
      <c r="K184" s="163"/>
    </row>
    <row r="185" spans="1:11" ht="15.75">
      <c r="A185" s="167">
        <v>1</v>
      </c>
      <c r="B185" s="166" t="s">
        <v>62</v>
      </c>
      <c r="C185" s="197" t="s">
        <v>62</v>
      </c>
      <c r="D185" s="254">
        <f t="shared" si="41"/>
        <v>52</v>
      </c>
      <c r="E185" s="254">
        <v>52</v>
      </c>
      <c r="F185" s="254"/>
      <c r="G185" s="248">
        <f t="shared" si="35"/>
        <v>0</v>
      </c>
      <c r="H185" s="184"/>
      <c r="I185" s="184"/>
      <c r="J185" s="555">
        <f t="shared" si="37"/>
        <v>0</v>
      </c>
      <c r="K185" s="168"/>
    </row>
    <row r="186" spans="1:11" ht="15.75">
      <c r="A186" s="167">
        <v>2</v>
      </c>
      <c r="B186" s="166" t="s">
        <v>51</v>
      </c>
      <c r="C186" s="197" t="s">
        <v>51</v>
      </c>
      <c r="D186" s="254">
        <f t="shared" si="41"/>
        <v>52</v>
      </c>
      <c r="E186" s="254">
        <v>52</v>
      </c>
      <c r="F186" s="254"/>
      <c r="G186" s="248">
        <f t="shared" si="35"/>
        <v>0</v>
      </c>
      <c r="H186" s="184"/>
      <c r="I186" s="184"/>
      <c r="J186" s="555">
        <f t="shared" si="37"/>
        <v>0</v>
      </c>
      <c r="K186" s="168"/>
    </row>
    <row r="187" spans="1:11" ht="15.75">
      <c r="A187" s="167">
        <v>4</v>
      </c>
      <c r="B187" s="166" t="s">
        <v>63</v>
      </c>
      <c r="C187" s="197" t="s">
        <v>63</v>
      </c>
      <c r="D187" s="254">
        <f t="shared" si="41"/>
        <v>544</v>
      </c>
      <c r="E187" s="254">
        <f>700-156</f>
        <v>544</v>
      </c>
      <c r="F187" s="254"/>
      <c r="G187" s="248">
        <f t="shared" si="35"/>
        <v>0</v>
      </c>
      <c r="H187" s="184"/>
      <c r="I187" s="184"/>
      <c r="J187" s="555">
        <f t="shared" si="37"/>
        <v>0</v>
      </c>
      <c r="K187" s="168"/>
    </row>
    <row r="188" spans="1:11" ht="15.75">
      <c r="A188" s="167">
        <v>7</v>
      </c>
      <c r="B188" s="166" t="s">
        <v>46</v>
      </c>
      <c r="C188" s="197" t="s">
        <v>46</v>
      </c>
      <c r="D188" s="254">
        <f t="shared" si="41"/>
        <v>52</v>
      </c>
      <c r="E188" s="254">
        <v>52</v>
      </c>
      <c r="F188" s="254"/>
      <c r="G188" s="248">
        <f t="shared" si="35"/>
        <v>0</v>
      </c>
      <c r="H188" s="184"/>
      <c r="I188" s="184"/>
      <c r="J188" s="555">
        <f t="shared" si="37"/>
        <v>0</v>
      </c>
      <c r="K188" s="168"/>
    </row>
    <row r="189" spans="1:11" ht="28.5" customHeight="1">
      <c r="A189" s="241" t="s">
        <v>152</v>
      </c>
      <c r="B189" s="675" t="s">
        <v>464</v>
      </c>
      <c r="C189" s="676"/>
      <c r="D189" s="246">
        <f>D190+D237</f>
        <v>41716.530769999998</v>
      </c>
      <c r="E189" s="246">
        <f>E190+E237</f>
        <v>34223</v>
      </c>
      <c r="F189" s="246">
        <f>F190+F237</f>
        <v>7493.5307700000003</v>
      </c>
      <c r="G189" s="246">
        <f t="shared" ref="G189:H189" si="42">G190+G237</f>
        <v>9</v>
      </c>
      <c r="H189" s="246">
        <f t="shared" si="42"/>
        <v>0</v>
      </c>
      <c r="I189" s="246">
        <f>I190+I237</f>
        <v>9</v>
      </c>
      <c r="J189" s="555">
        <f>G189/D189*100</f>
        <v>2.1574181347007539E-2</v>
      </c>
      <c r="K189" s="242"/>
    </row>
    <row r="190" spans="1:11" ht="15.75">
      <c r="A190" s="544" t="s">
        <v>827</v>
      </c>
      <c r="B190" s="673" t="s">
        <v>815</v>
      </c>
      <c r="C190" s="674"/>
      <c r="D190" s="545">
        <f>D191+D193+D217+D224+D231+D233</f>
        <v>7493.5307700000003</v>
      </c>
      <c r="E190" s="545">
        <f>E191+E193+E217+E224+E231+E233</f>
        <v>0</v>
      </c>
      <c r="F190" s="545">
        <f>F191+F193+F217+F224+F231+F233</f>
        <v>7493.5307700000003</v>
      </c>
      <c r="G190" s="545">
        <f t="shared" ref="G190:I190" si="43">G191+G193+G217+G224+G231+G233</f>
        <v>0</v>
      </c>
      <c r="H190" s="545">
        <f t="shared" si="43"/>
        <v>0</v>
      </c>
      <c r="I190" s="545">
        <f t="shared" si="43"/>
        <v>0</v>
      </c>
      <c r="J190" s="555">
        <f t="shared" si="37"/>
        <v>0</v>
      </c>
      <c r="K190" s="546"/>
    </row>
    <row r="191" spans="1:11" s="476" customFormat="1" ht="21.75" customHeight="1">
      <c r="A191" s="494" t="s">
        <v>3</v>
      </c>
      <c r="B191" s="500" t="s">
        <v>824</v>
      </c>
      <c r="C191" s="458"/>
      <c r="D191" s="473">
        <f>D192</f>
        <v>26.286262999999963</v>
      </c>
      <c r="E191" s="473">
        <f t="shared" ref="E191:H191" si="44">E192</f>
        <v>0</v>
      </c>
      <c r="F191" s="473">
        <f t="shared" si="44"/>
        <v>26.286262999999963</v>
      </c>
      <c r="G191" s="248">
        <f t="shared" si="35"/>
        <v>0</v>
      </c>
      <c r="H191" s="473">
        <f t="shared" si="44"/>
        <v>0</v>
      </c>
      <c r="I191" s="473"/>
      <c r="J191" s="555">
        <f t="shared" si="37"/>
        <v>0</v>
      </c>
      <c r="K191" s="475"/>
    </row>
    <row r="192" spans="1:11" s="476" customFormat="1" ht="18" customHeight="1">
      <c r="A192" s="495"/>
      <c r="B192" s="263" t="s">
        <v>68</v>
      </c>
      <c r="C192" s="446" t="s">
        <v>68</v>
      </c>
      <c r="D192" s="491">
        <f>F192</f>
        <v>26.286262999999963</v>
      </c>
      <c r="E192" s="491"/>
      <c r="F192" s="491">
        <f>sn!F43</f>
        <v>26.286262999999963</v>
      </c>
      <c r="G192" s="248">
        <f t="shared" si="35"/>
        <v>0</v>
      </c>
      <c r="H192" s="492"/>
      <c r="I192" s="492"/>
      <c r="J192" s="555">
        <f t="shared" si="37"/>
        <v>0</v>
      </c>
      <c r="K192" s="493"/>
    </row>
    <row r="193" spans="1:11" s="476" customFormat="1" ht="18" customHeight="1">
      <c r="A193" s="494" t="s">
        <v>5</v>
      </c>
      <c r="B193" s="500" t="s">
        <v>819</v>
      </c>
      <c r="C193" s="458"/>
      <c r="D193" s="473">
        <f>F193</f>
        <v>4526.4691800000001</v>
      </c>
      <c r="E193" s="473"/>
      <c r="F193" s="473">
        <f>sn!F44</f>
        <v>4526.4691800000001</v>
      </c>
      <c r="G193" s="248">
        <f t="shared" si="35"/>
        <v>0</v>
      </c>
      <c r="H193" s="474"/>
      <c r="I193" s="474"/>
      <c r="J193" s="555">
        <f t="shared" si="37"/>
        <v>0</v>
      </c>
      <c r="K193" s="475"/>
    </row>
    <row r="194" spans="1:11" s="553" customFormat="1" ht="18" customHeight="1">
      <c r="A194" s="547"/>
      <c r="B194" s="548" t="s">
        <v>488</v>
      </c>
      <c r="C194" s="549"/>
      <c r="D194" s="550">
        <f>F194</f>
        <v>367.46918000000005</v>
      </c>
      <c r="E194" s="550"/>
      <c r="F194" s="550">
        <f>sn!F45</f>
        <v>367.46918000000005</v>
      </c>
      <c r="G194" s="248">
        <f t="shared" si="35"/>
        <v>0</v>
      </c>
      <c r="H194" s="551"/>
      <c r="I194" s="551"/>
      <c r="J194" s="555">
        <f t="shared" si="37"/>
        <v>0</v>
      </c>
      <c r="K194" s="552"/>
    </row>
    <row r="195" spans="1:11" s="476" customFormat="1" ht="15.75">
      <c r="A195" s="496">
        <v>1</v>
      </c>
      <c r="B195" s="477" t="s">
        <v>62</v>
      </c>
      <c r="C195" s="478" t="s">
        <v>62</v>
      </c>
      <c r="D195" s="257">
        <f t="shared" ref="D195:D236" si="45">F195</f>
        <v>5.7322399999999902</v>
      </c>
      <c r="E195" s="257"/>
      <c r="F195" s="257">
        <f>sn!F46</f>
        <v>5.7322399999999902</v>
      </c>
      <c r="G195" s="248">
        <f t="shared" si="35"/>
        <v>0</v>
      </c>
      <c r="H195" s="497"/>
      <c r="I195" s="497"/>
      <c r="J195" s="555">
        <f t="shared" si="37"/>
        <v>0</v>
      </c>
      <c r="K195" s="498"/>
    </row>
    <row r="196" spans="1:11" s="476" customFormat="1" ht="15.75">
      <c r="A196" s="496">
        <v>2</v>
      </c>
      <c r="B196" s="477" t="s">
        <v>51</v>
      </c>
      <c r="C196" s="478" t="s">
        <v>51</v>
      </c>
      <c r="D196" s="257">
        <f t="shared" si="45"/>
        <v>33.146250000000009</v>
      </c>
      <c r="E196" s="257"/>
      <c r="F196" s="257">
        <f>sn!F47</f>
        <v>33.146250000000009</v>
      </c>
      <c r="G196" s="248">
        <f t="shared" si="35"/>
        <v>0</v>
      </c>
      <c r="H196" s="497"/>
      <c r="I196" s="497"/>
      <c r="J196" s="555">
        <f t="shared" si="37"/>
        <v>0</v>
      </c>
      <c r="K196" s="498"/>
    </row>
    <row r="197" spans="1:11" s="476" customFormat="1" ht="15.75">
      <c r="A197" s="496">
        <v>3</v>
      </c>
      <c r="B197" s="477" t="s">
        <v>42</v>
      </c>
      <c r="C197" s="478" t="s">
        <v>42</v>
      </c>
      <c r="D197" s="257">
        <f t="shared" si="45"/>
        <v>42.996800000000007</v>
      </c>
      <c r="E197" s="257"/>
      <c r="F197" s="257">
        <f>sn!F48</f>
        <v>42.996800000000007</v>
      </c>
      <c r="G197" s="248">
        <f t="shared" si="35"/>
        <v>0</v>
      </c>
      <c r="H197" s="497"/>
      <c r="I197" s="497"/>
      <c r="J197" s="555">
        <f t="shared" si="37"/>
        <v>0</v>
      </c>
      <c r="K197" s="498"/>
    </row>
    <row r="198" spans="1:11" s="476" customFormat="1" ht="15.75">
      <c r="A198" s="496">
        <v>4</v>
      </c>
      <c r="B198" s="477" t="s">
        <v>63</v>
      </c>
      <c r="C198" s="478" t="s">
        <v>63</v>
      </c>
      <c r="D198" s="257">
        <f t="shared" si="45"/>
        <v>39.77819999999997</v>
      </c>
      <c r="E198" s="257"/>
      <c r="F198" s="257">
        <f>sn!F49</f>
        <v>39.77819999999997</v>
      </c>
      <c r="G198" s="248">
        <f t="shared" si="35"/>
        <v>0</v>
      </c>
      <c r="H198" s="497"/>
      <c r="I198" s="497"/>
      <c r="J198" s="555">
        <f t="shared" ref="J198:J236" si="46">G198/D198*100</f>
        <v>0</v>
      </c>
      <c r="K198" s="498"/>
    </row>
    <row r="199" spans="1:11" s="476" customFormat="1" ht="15.75">
      <c r="A199" s="496">
        <v>5</v>
      </c>
      <c r="B199" s="477" t="s">
        <v>52</v>
      </c>
      <c r="C199" s="478" t="s">
        <v>52</v>
      </c>
      <c r="D199" s="257">
        <f t="shared" si="45"/>
        <v>60.944000000000017</v>
      </c>
      <c r="E199" s="257"/>
      <c r="F199" s="257">
        <f>sn!F50</f>
        <v>60.944000000000017</v>
      </c>
      <c r="G199" s="248">
        <f t="shared" si="35"/>
        <v>0</v>
      </c>
      <c r="H199" s="497"/>
      <c r="I199" s="497"/>
      <c r="J199" s="555">
        <f t="shared" si="46"/>
        <v>0</v>
      </c>
      <c r="K199" s="498"/>
    </row>
    <row r="200" spans="1:11" s="476" customFormat="1" ht="15.75">
      <c r="A200" s="496">
        <v>6</v>
      </c>
      <c r="B200" s="477" t="s">
        <v>45</v>
      </c>
      <c r="C200" s="478" t="s">
        <v>45</v>
      </c>
      <c r="D200" s="257">
        <f t="shared" si="45"/>
        <v>6.5249999999999773</v>
      </c>
      <c r="E200" s="257"/>
      <c r="F200" s="257">
        <f>sn!F51</f>
        <v>6.5249999999999773</v>
      </c>
      <c r="G200" s="248">
        <f t="shared" si="35"/>
        <v>0</v>
      </c>
      <c r="H200" s="497"/>
      <c r="I200" s="497"/>
      <c r="J200" s="555">
        <f t="shared" si="46"/>
        <v>0</v>
      </c>
      <c r="K200" s="498"/>
    </row>
    <row r="201" spans="1:11" s="476" customFormat="1" ht="15.75">
      <c r="A201" s="496">
        <v>7</v>
      </c>
      <c r="B201" s="477" t="s">
        <v>46</v>
      </c>
      <c r="C201" s="478" t="s">
        <v>46</v>
      </c>
      <c r="D201" s="257">
        <f t="shared" si="45"/>
        <v>38.206000000000017</v>
      </c>
      <c r="E201" s="257"/>
      <c r="F201" s="257">
        <f>sn!F52</f>
        <v>38.206000000000017</v>
      </c>
      <c r="G201" s="248">
        <f t="shared" si="35"/>
        <v>0</v>
      </c>
      <c r="H201" s="497"/>
      <c r="I201" s="497"/>
      <c r="J201" s="555">
        <f t="shared" si="46"/>
        <v>0</v>
      </c>
      <c r="K201" s="498"/>
    </row>
    <row r="202" spans="1:11" s="476" customFormat="1" ht="15.75">
      <c r="A202" s="496">
        <v>8</v>
      </c>
      <c r="B202" s="477" t="s">
        <v>64</v>
      </c>
      <c r="C202" s="478" t="s">
        <v>64</v>
      </c>
      <c r="D202" s="257">
        <f t="shared" si="45"/>
        <v>49.682830000000024</v>
      </c>
      <c r="E202" s="257"/>
      <c r="F202" s="257">
        <f>sn!F53</f>
        <v>49.682830000000024</v>
      </c>
      <c r="G202" s="248">
        <f t="shared" si="35"/>
        <v>0</v>
      </c>
      <c r="H202" s="497"/>
      <c r="I202" s="497"/>
      <c r="J202" s="555">
        <f t="shared" si="46"/>
        <v>0</v>
      </c>
      <c r="K202" s="498"/>
    </row>
    <row r="203" spans="1:11" s="476" customFormat="1" ht="15.75">
      <c r="A203" s="496">
        <v>9</v>
      </c>
      <c r="B203" s="477" t="s">
        <v>65</v>
      </c>
      <c r="C203" s="478" t="s">
        <v>65</v>
      </c>
      <c r="D203" s="257">
        <f t="shared" si="45"/>
        <v>28.207860000000039</v>
      </c>
      <c r="E203" s="257"/>
      <c r="F203" s="257">
        <f>sn!F54</f>
        <v>28.207860000000039</v>
      </c>
      <c r="G203" s="248">
        <f t="shared" ref="G203:G266" si="47">H203+I203</f>
        <v>0</v>
      </c>
      <c r="H203" s="497"/>
      <c r="I203" s="497"/>
      <c r="J203" s="555">
        <f t="shared" si="46"/>
        <v>0</v>
      </c>
      <c r="K203" s="498"/>
    </row>
    <row r="204" spans="1:11" s="476" customFormat="1" ht="15.75">
      <c r="A204" s="496">
        <v>10</v>
      </c>
      <c r="B204" s="477" t="s">
        <v>44</v>
      </c>
      <c r="C204" s="478" t="s">
        <v>44</v>
      </c>
      <c r="D204" s="257">
        <f t="shared" si="45"/>
        <v>62.25</v>
      </c>
      <c r="E204" s="257"/>
      <c r="F204" s="257">
        <f>sn!F55</f>
        <v>62.25</v>
      </c>
      <c r="G204" s="248">
        <f t="shared" si="47"/>
        <v>0</v>
      </c>
      <c r="H204" s="497"/>
      <c r="I204" s="497"/>
      <c r="J204" s="555">
        <f t="shared" si="46"/>
        <v>0</v>
      </c>
      <c r="K204" s="498"/>
    </row>
    <row r="205" spans="1:11" s="553" customFormat="1" ht="18" customHeight="1">
      <c r="A205" s="547"/>
      <c r="B205" s="548" t="s">
        <v>489</v>
      </c>
      <c r="C205" s="549"/>
      <c r="D205" s="550">
        <f t="shared" si="45"/>
        <v>4159</v>
      </c>
      <c r="E205" s="550"/>
      <c r="F205" s="550">
        <f>sn!F56</f>
        <v>4159</v>
      </c>
      <c r="G205" s="248">
        <f t="shared" si="47"/>
        <v>0</v>
      </c>
      <c r="H205" s="551"/>
      <c r="I205" s="551"/>
      <c r="J205" s="555">
        <f t="shared" si="46"/>
        <v>0</v>
      </c>
      <c r="K205" s="552"/>
    </row>
    <row r="206" spans="1:11" s="476" customFormat="1" ht="15.75">
      <c r="A206" s="496">
        <v>1</v>
      </c>
      <c r="B206" s="477" t="s">
        <v>62</v>
      </c>
      <c r="C206" s="478" t="s">
        <v>62</v>
      </c>
      <c r="D206" s="257">
        <f t="shared" si="45"/>
        <v>360.12</v>
      </c>
      <c r="E206" s="257"/>
      <c r="F206" s="257">
        <f>sn!F57</f>
        <v>360.12</v>
      </c>
      <c r="G206" s="248">
        <f t="shared" si="47"/>
        <v>0</v>
      </c>
      <c r="H206" s="497"/>
      <c r="I206" s="497"/>
      <c r="J206" s="555">
        <f t="shared" si="46"/>
        <v>0</v>
      </c>
      <c r="K206" s="498"/>
    </row>
    <row r="207" spans="1:11" s="476" customFormat="1" ht="15.75">
      <c r="A207" s="496">
        <v>2</v>
      </c>
      <c r="B207" s="477" t="s">
        <v>51</v>
      </c>
      <c r="C207" s="478" t="s">
        <v>51</v>
      </c>
      <c r="D207" s="257">
        <f t="shared" si="45"/>
        <v>381.48</v>
      </c>
      <c r="E207" s="257"/>
      <c r="F207" s="257">
        <f>sn!F58</f>
        <v>381.48</v>
      </c>
      <c r="G207" s="248">
        <f t="shared" si="47"/>
        <v>0</v>
      </c>
      <c r="H207" s="497"/>
      <c r="I207" s="497"/>
      <c r="J207" s="555">
        <f t="shared" si="46"/>
        <v>0</v>
      </c>
      <c r="K207" s="498"/>
    </row>
    <row r="208" spans="1:11" s="476" customFormat="1" ht="15.75">
      <c r="A208" s="496">
        <v>3</v>
      </c>
      <c r="B208" s="477" t="s">
        <v>42</v>
      </c>
      <c r="C208" s="478" t="s">
        <v>42</v>
      </c>
      <c r="D208" s="257">
        <f t="shared" si="45"/>
        <v>363.62</v>
      </c>
      <c r="E208" s="257"/>
      <c r="F208" s="257">
        <f>sn!F59</f>
        <v>363.62</v>
      </c>
      <c r="G208" s="248">
        <f t="shared" si="47"/>
        <v>0</v>
      </c>
      <c r="H208" s="497"/>
      <c r="I208" s="497"/>
      <c r="J208" s="555">
        <f t="shared" si="46"/>
        <v>0</v>
      </c>
      <c r="K208" s="498"/>
    </row>
    <row r="209" spans="1:11" s="476" customFormat="1" ht="15.75">
      <c r="A209" s="496">
        <v>4</v>
      </c>
      <c r="B209" s="477" t="s">
        <v>63</v>
      </c>
      <c r="C209" s="478" t="s">
        <v>63</v>
      </c>
      <c r="D209" s="257">
        <f t="shared" si="45"/>
        <v>356.73</v>
      </c>
      <c r="E209" s="257"/>
      <c r="F209" s="257">
        <f>sn!F60</f>
        <v>356.73</v>
      </c>
      <c r="G209" s="248">
        <f t="shared" si="47"/>
        <v>0</v>
      </c>
      <c r="H209" s="497"/>
      <c r="I209" s="497"/>
      <c r="J209" s="555">
        <f t="shared" si="46"/>
        <v>0</v>
      </c>
      <c r="K209" s="498"/>
    </row>
    <row r="210" spans="1:11" s="476" customFormat="1" ht="15.75">
      <c r="A210" s="496">
        <v>5</v>
      </c>
      <c r="B210" s="477" t="s">
        <v>52</v>
      </c>
      <c r="C210" s="478" t="s">
        <v>52</v>
      </c>
      <c r="D210" s="257">
        <f t="shared" si="45"/>
        <v>382.82</v>
      </c>
      <c r="E210" s="257"/>
      <c r="F210" s="257">
        <f>sn!F61</f>
        <v>382.82</v>
      </c>
      <c r="G210" s="248">
        <f t="shared" si="47"/>
        <v>0</v>
      </c>
      <c r="H210" s="497"/>
      <c r="I210" s="497"/>
      <c r="J210" s="555">
        <f t="shared" si="46"/>
        <v>0</v>
      </c>
      <c r="K210" s="498"/>
    </row>
    <row r="211" spans="1:11" s="476" customFormat="1" ht="15.75">
      <c r="A211" s="496">
        <v>6</v>
      </c>
      <c r="B211" s="477" t="s">
        <v>45</v>
      </c>
      <c r="C211" s="478" t="s">
        <v>45</v>
      </c>
      <c r="D211" s="257">
        <f t="shared" si="45"/>
        <v>388.92</v>
      </c>
      <c r="E211" s="257"/>
      <c r="F211" s="257">
        <f>sn!F62</f>
        <v>388.92</v>
      </c>
      <c r="G211" s="248">
        <f t="shared" si="47"/>
        <v>0</v>
      </c>
      <c r="H211" s="497"/>
      <c r="I211" s="497"/>
      <c r="J211" s="555">
        <f t="shared" si="46"/>
        <v>0</v>
      </c>
      <c r="K211" s="498"/>
    </row>
    <row r="212" spans="1:11" s="476" customFormat="1" ht="15.75">
      <c r="A212" s="496">
        <v>7</v>
      </c>
      <c r="B212" s="477" t="s">
        <v>46</v>
      </c>
      <c r="C212" s="478" t="s">
        <v>46</v>
      </c>
      <c r="D212" s="257">
        <f t="shared" si="45"/>
        <v>394.54</v>
      </c>
      <c r="E212" s="257"/>
      <c r="F212" s="257">
        <f>sn!F63</f>
        <v>394.54</v>
      </c>
      <c r="G212" s="248">
        <f t="shared" si="47"/>
        <v>0</v>
      </c>
      <c r="H212" s="497"/>
      <c r="I212" s="497"/>
      <c r="J212" s="555">
        <f t="shared" si="46"/>
        <v>0</v>
      </c>
      <c r="K212" s="498"/>
    </row>
    <row r="213" spans="1:11" s="476" customFormat="1" ht="15.75">
      <c r="A213" s="496">
        <v>8</v>
      </c>
      <c r="B213" s="477" t="s">
        <v>64</v>
      </c>
      <c r="C213" s="478" t="s">
        <v>64</v>
      </c>
      <c r="D213" s="257">
        <f t="shared" si="45"/>
        <v>379.16</v>
      </c>
      <c r="E213" s="257"/>
      <c r="F213" s="257">
        <f>sn!F64</f>
        <v>379.16</v>
      </c>
      <c r="G213" s="248">
        <f t="shared" si="47"/>
        <v>0</v>
      </c>
      <c r="H213" s="497"/>
      <c r="I213" s="497"/>
      <c r="J213" s="555">
        <f t="shared" si="46"/>
        <v>0</v>
      </c>
      <c r="K213" s="498"/>
    </row>
    <row r="214" spans="1:11" s="476" customFormat="1" ht="15.75">
      <c r="A214" s="496">
        <v>9</v>
      </c>
      <c r="B214" s="477" t="s">
        <v>65</v>
      </c>
      <c r="C214" s="478" t="s">
        <v>65</v>
      </c>
      <c r="D214" s="257">
        <f t="shared" si="45"/>
        <v>386.54</v>
      </c>
      <c r="E214" s="257"/>
      <c r="F214" s="257">
        <f>sn!F65</f>
        <v>386.54</v>
      </c>
      <c r="G214" s="248">
        <f t="shared" si="47"/>
        <v>0</v>
      </c>
      <c r="H214" s="497"/>
      <c r="I214" s="497"/>
      <c r="J214" s="555">
        <f t="shared" si="46"/>
        <v>0</v>
      </c>
      <c r="K214" s="498"/>
    </row>
    <row r="215" spans="1:11" s="476" customFormat="1" ht="15.75">
      <c r="A215" s="496">
        <v>10</v>
      </c>
      <c r="B215" s="477" t="s">
        <v>66</v>
      </c>
      <c r="C215" s="478" t="s">
        <v>66</v>
      </c>
      <c r="D215" s="257">
        <f t="shared" si="45"/>
        <v>381.45</v>
      </c>
      <c r="E215" s="257"/>
      <c r="F215" s="257">
        <f>sn!F66</f>
        <v>381.45</v>
      </c>
      <c r="G215" s="248">
        <f t="shared" si="47"/>
        <v>0</v>
      </c>
      <c r="H215" s="497"/>
      <c r="I215" s="497"/>
      <c r="J215" s="555">
        <f t="shared" si="46"/>
        <v>0</v>
      </c>
      <c r="K215" s="498"/>
    </row>
    <row r="216" spans="1:11" s="476" customFormat="1" ht="15.75">
      <c r="A216" s="496">
        <v>11</v>
      </c>
      <c r="B216" s="477" t="s">
        <v>44</v>
      </c>
      <c r="C216" s="478" t="s">
        <v>44</v>
      </c>
      <c r="D216" s="257">
        <f t="shared" si="45"/>
        <v>383.62</v>
      </c>
      <c r="E216" s="257"/>
      <c r="F216" s="257">
        <f>sn!F67</f>
        <v>383.62</v>
      </c>
      <c r="G216" s="248">
        <f t="shared" si="47"/>
        <v>0</v>
      </c>
      <c r="H216" s="497"/>
      <c r="I216" s="497"/>
      <c r="J216" s="555">
        <f t="shared" si="46"/>
        <v>0</v>
      </c>
      <c r="K216" s="498"/>
    </row>
    <row r="217" spans="1:11" s="476" customFormat="1" ht="18" customHeight="1">
      <c r="A217" s="494" t="s">
        <v>13</v>
      </c>
      <c r="B217" s="500" t="s">
        <v>820</v>
      </c>
      <c r="C217" s="458"/>
      <c r="D217" s="473">
        <f t="shared" si="45"/>
        <v>118.64532700000001</v>
      </c>
      <c r="E217" s="473"/>
      <c r="F217" s="473">
        <f>sn!F68</f>
        <v>118.64532700000001</v>
      </c>
      <c r="G217" s="248">
        <f t="shared" si="47"/>
        <v>0</v>
      </c>
      <c r="H217" s="474"/>
      <c r="I217" s="474"/>
      <c r="J217" s="555">
        <f t="shared" si="46"/>
        <v>0</v>
      </c>
      <c r="K217" s="475"/>
    </row>
    <row r="218" spans="1:11" s="553" customFormat="1" ht="18" customHeight="1">
      <c r="A218" s="547"/>
      <c r="B218" s="548" t="s">
        <v>488</v>
      </c>
      <c r="C218" s="549"/>
      <c r="D218" s="550">
        <f t="shared" si="45"/>
        <v>118.64532700000001</v>
      </c>
      <c r="E218" s="550"/>
      <c r="F218" s="550">
        <f>SUM(F219:F223)</f>
        <v>118.64532700000001</v>
      </c>
      <c r="G218" s="248">
        <f t="shared" si="47"/>
        <v>0</v>
      </c>
      <c r="H218" s="551"/>
      <c r="I218" s="551"/>
      <c r="J218" s="555"/>
      <c r="K218" s="552"/>
    </row>
    <row r="219" spans="1:11" s="476" customFormat="1" ht="15.75">
      <c r="A219" s="496">
        <v>1</v>
      </c>
      <c r="B219" s="477" t="s">
        <v>62</v>
      </c>
      <c r="C219" s="478" t="s">
        <v>62</v>
      </c>
      <c r="D219" s="257">
        <f t="shared" si="45"/>
        <v>0.29999999999999716</v>
      </c>
      <c r="E219" s="257"/>
      <c r="F219" s="257">
        <f>sn!F70</f>
        <v>0.29999999999999716</v>
      </c>
      <c r="G219" s="248">
        <f t="shared" si="47"/>
        <v>0</v>
      </c>
      <c r="H219" s="497"/>
      <c r="I219" s="497"/>
      <c r="J219" s="555">
        <f t="shared" si="46"/>
        <v>0</v>
      </c>
      <c r="K219" s="498"/>
    </row>
    <row r="220" spans="1:11" s="476" customFormat="1" ht="15.75">
      <c r="A220" s="496">
        <v>2</v>
      </c>
      <c r="B220" s="477" t="s">
        <v>42</v>
      </c>
      <c r="C220" s="478" t="s">
        <v>42</v>
      </c>
      <c r="D220" s="257">
        <f t="shared" si="45"/>
        <v>0.11732700000000307</v>
      </c>
      <c r="E220" s="257"/>
      <c r="F220" s="257">
        <f>sn!F71</f>
        <v>0.11732700000000307</v>
      </c>
      <c r="G220" s="248">
        <f t="shared" si="47"/>
        <v>0</v>
      </c>
      <c r="H220" s="497"/>
      <c r="I220" s="497"/>
      <c r="J220" s="555">
        <f t="shared" si="46"/>
        <v>0</v>
      </c>
      <c r="K220" s="498"/>
    </row>
    <row r="221" spans="1:11" s="476" customFormat="1" ht="15.75">
      <c r="A221" s="496">
        <v>3</v>
      </c>
      <c r="B221" s="477" t="s">
        <v>46</v>
      </c>
      <c r="C221" s="478" t="s">
        <v>46</v>
      </c>
      <c r="D221" s="257">
        <f t="shared" si="45"/>
        <v>118.2</v>
      </c>
      <c r="E221" s="257"/>
      <c r="F221" s="257">
        <f>sn!F72</f>
        <v>118.2</v>
      </c>
      <c r="G221" s="248">
        <f t="shared" si="47"/>
        <v>0</v>
      </c>
      <c r="H221" s="497"/>
      <c r="I221" s="497"/>
      <c r="J221" s="555">
        <f t="shared" si="46"/>
        <v>0</v>
      </c>
      <c r="K221" s="498"/>
    </row>
    <row r="222" spans="1:11" s="476" customFormat="1" ht="15.75">
      <c r="A222" s="496">
        <v>4</v>
      </c>
      <c r="B222" s="477" t="s">
        <v>64</v>
      </c>
      <c r="C222" s="478" t="s">
        <v>64</v>
      </c>
      <c r="D222" s="257">
        <f t="shared" si="45"/>
        <v>2.7000000000001023E-2</v>
      </c>
      <c r="E222" s="257"/>
      <c r="F222" s="257">
        <f>sn!F73</f>
        <v>2.7000000000001023E-2</v>
      </c>
      <c r="G222" s="248">
        <f t="shared" si="47"/>
        <v>0</v>
      </c>
      <c r="H222" s="497"/>
      <c r="I222" s="497"/>
      <c r="J222" s="555">
        <f t="shared" si="46"/>
        <v>0</v>
      </c>
      <c r="K222" s="498"/>
    </row>
    <row r="223" spans="1:11" s="476" customFormat="1" ht="15.75">
      <c r="A223" s="496">
        <v>5</v>
      </c>
      <c r="B223" s="477" t="s">
        <v>65</v>
      </c>
      <c r="C223" s="478" t="s">
        <v>65</v>
      </c>
      <c r="D223" s="257">
        <f t="shared" si="45"/>
        <v>1.0000000000047748E-3</v>
      </c>
      <c r="E223" s="257"/>
      <c r="F223" s="257">
        <f>sn!F74</f>
        <v>1.0000000000047748E-3</v>
      </c>
      <c r="G223" s="248">
        <f t="shared" si="47"/>
        <v>0</v>
      </c>
      <c r="H223" s="497"/>
      <c r="I223" s="497"/>
      <c r="J223" s="555">
        <f t="shared" si="46"/>
        <v>0</v>
      </c>
      <c r="K223" s="498"/>
    </row>
    <row r="224" spans="1:11" s="476" customFormat="1" ht="18" customHeight="1">
      <c r="A224" s="494" t="s">
        <v>14</v>
      </c>
      <c r="B224" s="500" t="s">
        <v>821</v>
      </c>
      <c r="C224" s="458"/>
      <c r="D224" s="473">
        <f t="shared" si="45"/>
        <v>2518.1610000000001</v>
      </c>
      <c r="E224" s="473"/>
      <c r="F224" s="473">
        <f>sn!F75</f>
        <v>2518.1610000000001</v>
      </c>
      <c r="G224" s="248">
        <f t="shared" si="47"/>
        <v>0</v>
      </c>
      <c r="H224" s="474"/>
      <c r="I224" s="474"/>
      <c r="J224" s="555">
        <f t="shared" si="46"/>
        <v>0</v>
      </c>
      <c r="K224" s="475"/>
    </row>
    <row r="225" spans="1:11" s="476" customFormat="1" ht="15.75">
      <c r="A225" s="496">
        <v>1</v>
      </c>
      <c r="B225" s="477" t="s">
        <v>800</v>
      </c>
      <c r="C225" s="478" t="s">
        <v>801</v>
      </c>
      <c r="D225" s="257">
        <f t="shared" si="45"/>
        <v>132.82499999999999</v>
      </c>
      <c r="E225" s="257"/>
      <c r="F225" s="257">
        <f>sn!F76</f>
        <v>132.82499999999999</v>
      </c>
      <c r="G225" s="248">
        <f t="shared" si="47"/>
        <v>0</v>
      </c>
      <c r="H225" s="497"/>
      <c r="I225" s="497"/>
      <c r="J225" s="555">
        <f t="shared" si="46"/>
        <v>0</v>
      </c>
      <c r="K225" s="498"/>
    </row>
    <row r="226" spans="1:11" s="476" customFormat="1" ht="15.75">
      <c r="A226" s="496">
        <v>2</v>
      </c>
      <c r="B226" s="477" t="s">
        <v>802</v>
      </c>
      <c r="C226" s="478" t="s">
        <v>148</v>
      </c>
      <c r="D226" s="257">
        <f t="shared" si="45"/>
        <v>196.23599999999999</v>
      </c>
      <c r="E226" s="257"/>
      <c r="F226" s="257">
        <f>sn!F77</f>
        <v>196.23599999999999</v>
      </c>
      <c r="G226" s="248">
        <f t="shared" si="47"/>
        <v>0</v>
      </c>
      <c r="H226" s="497"/>
      <c r="I226" s="497"/>
      <c r="J226" s="555">
        <f t="shared" si="46"/>
        <v>0</v>
      </c>
      <c r="K226" s="498"/>
    </row>
    <row r="227" spans="1:11" s="476" customFormat="1" ht="15.75">
      <c r="A227" s="496">
        <v>3</v>
      </c>
      <c r="B227" s="477" t="s">
        <v>803</v>
      </c>
      <c r="C227" s="478" t="s">
        <v>68</v>
      </c>
      <c r="D227" s="257">
        <f t="shared" si="45"/>
        <v>186</v>
      </c>
      <c r="E227" s="257"/>
      <c r="F227" s="257">
        <f>sn!F78</f>
        <v>186</v>
      </c>
      <c r="G227" s="248">
        <f t="shared" si="47"/>
        <v>0</v>
      </c>
      <c r="H227" s="497"/>
      <c r="I227" s="497"/>
      <c r="J227" s="555">
        <f t="shared" si="46"/>
        <v>0</v>
      </c>
      <c r="K227" s="498"/>
    </row>
    <row r="228" spans="1:11" s="476" customFormat="1" ht="15.75">
      <c r="A228" s="496">
        <v>4</v>
      </c>
      <c r="B228" s="477" t="s">
        <v>804</v>
      </c>
      <c r="C228" s="478" t="s">
        <v>68</v>
      </c>
      <c r="D228" s="257">
        <f t="shared" si="45"/>
        <v>187</v>
      </c>
      <c r="E228" s="257"/>
      <c r="F228" s="257">
        <f>sn!F79</f>
        <v>187</v>
      </c>
      <c r="G228" s="248">
        <f t="shared" si="47"/>
        <v>0</v>
      </c>
      <c r="H228" s="497"/>
      <c r="I228" s="497"/>
      <c r="J228" s="555">
        <f t="shared" si="46"/>
        <v>0</v>
      </c>
      <c r="K228" s="498"/>
    </row>
    <row r="229" spans="1:11" s="476" customFormat="1" ht="15.75">
      <c r="A229" s="496">
        <v>5</v>
      </c>
      <c r="B229" s="477" t="s">
        <v>805</v>
      </c>
      <c r="C229" s="478" t="s">
        <v>806</v>
      </c>
      <c r="D229" s="257">
        <f t="shared" si="45"/>
        <v>153</v>
      </c>
      <c r="E229" s="257"/>
      <c r="F229" s="257">
        <f>sn!F80</f>
        <v>153</v>
      </c>
      <c r="G229" s="248">
        <f t="shared" si="47"/>
        <v>0</v>
      </c>
      <c r="H229" s="497"/>
      <c r="I229" s="497"/>
      <c r="J229" s="555">
        <f t="shared" si="46"/>
        <v>0</v>
      </c>
      <c r="K229" s="498"/>
    </row>
    <row r="230" spans="1:11" s="476" customFormat="1" ht="30">
      <c r="A230" s="496">
        <v>6</v>
      </c>
      <c r="B230" s="477" t="s">
        <v>807</v>
      </c>
      <c r="C230" s="478" t="s">
        <v>40</v>
      </c>
      <c r="D230" s="257">
        <f t="shared" si="45"/>
        <v>1663.1</v>
      </c>
      <c r="E230" s="257"/>
      <c r="F230" s="257">
        <f>sn!F81</f>
        <v>1663.1</v>
      </c>
      <c r="G230" s="248">
        <f t="shared" si="47"/>
        <v>0</v>
      </c>
      <c r="H230" s="497"/>
      <c r="I230" s="497"/>
      <c r="J230" s="555">
        <f t="shared" si="46"/>
        <v>0</v>
      </c>
      <c r="K230" s="498"/>
    </row>
    <row r="231" spans="1:11" s="476" customFormat="1" ht="27" customHeight="1">
      <c r="A231" s="494" t="s">
        <v>147</v>
      </c>
      <c r="B231" s="500" t="s">
        <v>822</v>
      </c>
      <c r="C231" s="458"/>
      <c r="D231" s="473">
        <f t="shared" si="45"/>
        <v>61.521000000000015</v>
      </c>
      <c r="E231" s="473"/>
      <c r="F231" s="473">
        <f>sn!F82</f>
        <v>61.521000000000015</v>
      </c>
      <c r="G231" s="248">
        <f t="shared" si="47"/>
        <v>0</v>
      </c>
      <c r="H231" s="474"/>
      <c r="I231" s="474"/>
      <c r="J231" s="555">
        <f t="shared" si="46"/>
        <v>0</v>
      </c>
      <c r="K231" s="475"/>
    </row>
    <row r="232" spans="1:11" s="476" customFormat="1" ht="27" customHeight="1">
      <c r="A232" s="494">
        <v>1</v>
      </c>
      <c r="B232" s="263" t="s">
        <v>69</v>
      </c>
      <c r="C232" s="446" t="s">
        <v>69</v>
      </c>
      <c r="D232" s="473">
        <f t="shared" si="45"/>
        <v>61.521000000000015</v>
      </c>
      <c r="E232" s="473"/>
      <c r="F232" s="473">
        <f>sn!F83</f>
        <v>61.521000000000015</v>
      </c>
      <c r="G232" s="248">
        <f t="shared" si="47"/>
        <v>0</v>
      </c>
      <c r="H232" s="474"/>
      <c r="I232" s="474"/>
      <c r="J232" s="555">
        <f t="shared" si="46"/>
        <v>0</v>
      </c>
      <c r="K232" s="475"/>
    </row>
    <row r="233" spans="1:11" s="476" customFormat="1" ht="27" customHeight="1">
      <c r="A233" s="494" t="s">
        <v>15</v>
      </c>
      <c r="B233" s="500" t="s">
        <v>823</v>
      </c>
      <c r="C233" s="458"/>
      <c r="D233" s="473">
        <f t="shared" si="45"/>
        <v>242.44799999999998</v>
      </c>
      <c r="E233" s="473"/>
      <c r="F233" s="473">
        <f>sn!F84</f>
        <v>242.44799999999998</v>
      </c>
      <c r="G233" s="248">
        <f t="shared" si="47"/>
        <v>0</v>
      </c>
      <c r="H233" s="474"/>
      <c r="I233" s="474"/>
      <c r="J233" s="555">
        <f t="shared" si="46"/>
        <v>0</v>
      </c>
      <c r="K233" s="475"/>
    </row>
    <row r="234" spans="1:11" s="476" customFormat="1" ht="15.75">
      <c r="A234" s="496">
        <v>1</v>
      </c>
      <c r="B234" s="477" t="s">
        <v>811</v>
      </c>
      <c r="C234" s="677" t="s">
        <v>68</v>
      </c>
      <c r="D234" s="257">
        <f t="shared" si="45"/>
        <v>148.6</v>
      </c>
      <c r="E234" s="257"/>
      <c r="F234" s="257">
        <f>sn!F85</f>
        <v>148.6</v>
      </c>
      <c r="G234" s="248">
        <f t="shared" si="47"/>
        <v>0</v>
      </c>
      <c r="H234" s="497"/>
      <c r="I234" s="497"/>
      <c r="J234" s="555">
        <f t="shared" si="46"/>
        <v>0</v>
      </c>
      <c r="K234" s="498"/>
    </row>
    <row r="235" spans="1:11" s="476" customFormat="1" ht="15.75">
      <c r="A235" s="496">
        <v>2</v>
      </c>
      <c r="B235" s="477" t="s">
        <v>812</v>
      </c>
      <c r="C235" s="678"/>
      <c r="D235" s="257">
        <f t="shared" si="45"/>
        <v>51.847999999999999</v>
      </c>
      <c r="E235" s="257"/>
      <c r="F235" s="257">
        <f>sn!F86</f>
        <v>51.847999999999999</v>
      </c>
      <c r="G235" s="248">
        <f t="shared" si="47"/>
        <v>0</v>
      </c>
      <c r="H235" s="497"/>
      <c r="I235" s="497"/>
      <c r="J235" s="555">
        <f t="shared" si="46"/>
        <v>0</v>
      </c>
      <c r="K235" s="498"/>
    </row>
    <row r="236" spans="1:11" s="476" customFormat="1" ht="30">
      <c r="A236" s="496">
        <v>3</v>
      </c>
      <c r="B236" s="477" t="s">
        <v>813</v>
      </c>
      <c r="C236" s="478" t="s">
        <v>808</v>
      </c>
      <c r="D236" s="257">
        <f t="shared" si="45"/>
        <v>42</v>
      </c>
      <c r="E236" s="257"/>
      <c r="F236" s="257">
        <f>sn!F87</f>
        <v>42</v>
      </c>
      <c r="G236" s="248">
        <f t="shared" si="47"/>
        <v>0</v>
      </c>
      <c r="H236" s="497"/>
      <c r="I236" s="497"/>
      <c r="J236" s="555">
        <f t="shared" si="46"/>
        <v>0</v>
      </c>
      <c r="K236" s="498"/>
    </row>
    <row r="237" spans="1:11" ht="15.75">
      <c r="A237" s="544" t="s">
        <v>829</v>
      </c>
      <c r="B237" s="673" t="s">
        <v>830</v>
      </c>
      <c r="C237" s="674"/>
      <c r="D237" s="545">
        <f>D238+D240+D266+D279+D287+D289+D291+D293+D300</f>
        <v>34223</v>
      </c>
      <c r="E237" s="545">
        <f t="shared" ref="E237" si="48">E238+E240+E266+E279+E287+E289+E291+E293+E300</f>
        <v>34223</v>
      </c>
      <c r="F237" s="545">
        <f t="shared" ref="F237:I237" si="49">F238+F240+F266+F279+F287+F289+F291+F293+F300</f>
        <v>0</v>
      </c>
      <c r="G237" s="545">
        <f t="shared" si="47"/>
        <v>9</v>
      </c>
      <c r="H237" s="545">
        <f t="shared" si="49"/>
        <v>0</v>
      </c>
      <c r="I237" s="545">
        <f t="shared" si="49"/>
        <v>9</v>
      </c>
      <c r="J237" s="555">
        <f>G237/D237*100</f>
        <v>2.6298103614528244E-2</v>
      </c>
      <c r="K237" s="546"/>
    </row>
    <row r="238" spans="1:11" s="486" customFormat="1" ht="15.75">
      <c r="A238" s="499" t="s">
        <v>3</v>
      </c>
      <c r="B238" s="500" t="s">
        <v>37</v>
      </c>
      <c r="C238" s="482"/>
      <c r="D238" s="501">
        <f>D239</f>
        <v>3679</v>
      </c>
      <c r="E238" s="501">
        <f>E239</f>
        <v>3679</v>
      </c>
      <c r="F238" s="501">
        <f t="shared" ref="F238:I238" si="50">F239</f>
        <v>0</v>
      </c>
      <c r="G238" s="248">
        <f t="shared" si="47"/>
        <v>0</v>
      </c>
      <c r="H238" s="501">
        <f t="shared" si="50"/>
        <v>0</v>
      </c>
      <c r="I238" s="501">
        <f t="shared" si="50"/>
        <v>0</v>
      </c>
      <c r="J238" s="555">
        <f t="shared" ref="J238:J251" si="51">G238/D238*100</f>
        <v>0</v>
      </c>
      <c r="K238" s="502"/>
    </row>
    <row r="239" spans="1:11" s="476" customFormat="1" ht="15.75">
      <c r="A239" s="487" t="s">
        <v>57</v>
      </c>
      <c r="B239" s="503" t="s">
        <v>68</v>
      </c>
      <c r="C239" s="482" t="s">
        <v>68</v>
      </c>
      <c r="D239" s="257">
        <f>E239</f>
        <v>3679</v>
      </c>
      <c r="E239" s="257">
        <v>3679</v>
      </c>
      <c r="F239" s="257"/>
      <c r="G239" s="248">
        <f t="shared" si="47"/>
        <v>0</v>
      </c>
      <c r="H239" s="497"/>
      <c r="I239" s="497"/>
      <c r="J239" s="555">
        <f t="shared" si="51"/>
        <v>0</v>
      </c>
      <c r="K239" s="498"/>
    </row>
    <row r="240" spans="1:11" s="476" customFormat="1" ht="15.75">
      <c r="A240" s="480" t="s">
        <v>5</v>
      </c>
      <c r="B240" s="500" t="s">
        <v>487</v>
      </c>
      <c r="C240" s="482"/>
      <c r="D240" s="501">
        <f>D241+D253</f>
        <v>14513.8</v>
      </c>
      <c r="E240" s="501">
        <f>E241+E253</f>
        <v>14513.8</v>
      </c>
      <c r="F240" s="501">
        <f t="shared" ref="F240:I240" si="52">F241+F253</f>
        <v>0</v>
      </c>
      <c r="G240" s="501">
        <f t="shared" si="47"/>
        <v>9</v>
      </c>
      <c r="H240" s="501">
        <f t="shared" si="52"/>
        <v>0</v>
      </c>
      <c r="I240" s="501">
        <f t="shared" si="52"/>
        <v>9</v>
      </c>
      <c r="J240" s="555">
        <f t="shared" si="51"/>
        <v>6.2009949151841694E-2</v>
      </c>
      <c r="K240" s="502"/>
    </row>
    <row r="241" spans="1:11" s="510" customFormat="1" ht="15.75">
      <c r="A241" s="504">
        <v>1</v>
      </c>
      <c r="B241" s="505" t="s">
        <v>488</v>
      </c>
      <c r="C241" s="506"/>
      <c r="D241" s="507">
        <f>SUM(D242:D252)</f>
        <v>2758.8</v>
      </c>
      <c r="E241" s="507">
        <f>SUM(E242:E252)</f>
        <v>2758.8</v>
      </c>
      <c r="F241" s="507">
        <f t="shared" ref="F241:I241" si="53">SUM(F242:F252)</f>
        <v>0</v>
      </c>
      <c r="G241" s="507">
        <f t="shared" si="47"/>
        <v>9</v>
      </c>
      <c r="H241" s="507">
        <f t="shared" si="53"/>
        <v>0</v>
      </c>
      <c r="I241" s="507">
        <f t="shared" si="53"/>
        <v>9</v>
      </c>
      <c r="J241" s="555">
        <f t="shared" si="51"/>
        <v>0.32622879512831665</v>
      </c>
      <c r="K241" s="509"/>
    </row>
    <row r="242" spans="1:11" s="476" customFormat="1" ht="15.75">
      <c r="A242" s="496">
        <v>1</v>
      </c>
      <c r="B242" s="477" t="s">
        <v>62</v>
      </c>
      <c r="C242" s="478" t="s">
        <v>62</v>
      </c>
      <c r="D242" s="257">
        <f>E242</f>
        <v>303.04999999999995</v>
      </c>
      <c r="E242" s="257">
        <f>29*10.45</f>
        <v>303.04999999999995</v>
      </c>
      <c r="F242" s="257"/>
      <c r="G242" s="248">
        <f t="shared" si="47"/>
        <v>0</v>
      </c>
      <c r="H242" s="188"/>
      <c r="I242" s="188"/>
      <c r="J242" s="555">
        <f t="shared" si="51"/>
        <v>0</v>
      </c>
      <c r="K242" s="498"/>
    </row>
    <row r="243" spans="1:11" s="476" customFormat="1" ht="15.75">
      <c r="A243" s="496">
        <v>2</v>
      </c>
      <c r="B243" s="477" t="s">
        <v>51</v>
      </c>
      <c r="C243" s="478" t="s">
        <v>51</v>
      </c>
      <c r="D243" s="257">
        <f t="shared" ref="D243:D252" si="54">E243</f>
        <v>303.04999999999995</v>
      </c>
      <c r="E243" s="257">
        <f>10.45*29</f>
        <v>303.04999999999995</v>
      </c>
      <c r="F243" s="257"/>
      <c r="G243" s="248">
        <f t="shared" si="47"/>
        <v>0</v>
      </c>
      <c r="H243" s="188"/>
      <c r="I243" s="188"/>
      <c r="J243" s="555">
        <f t="shared" si="51"/>
        <v>0</v>
      </c>
      <c r="K243" s="498"/>
    </row>
    <row r="244" spans="1:11" s="476" customFormat="1" ht="15.75">
      <c r="A244" s="496">
        <v>3</v>
      </c>
      <c r="B244" s="477" t="s">
        <v>42</v>
      </c>
      <c r="C244" s="478" t="s">
        <v>42</v>
      </c>
      <c r="D244" s="257">
        <f t="shared" si="54"/>
        <v>365.75</v>
      </c>
      <c r="E244" s="257">
        <f>35*10.45</f>
        <v>365.75</v>
      </c>
      <c r="F244" s="257"/>
      <c r="G244" s="248">
        <f t="shared" si="47"/>
        <v>0</v>
      </c>
      <c r="H244" s="188"/>
      <c r="I244" s="188"/>
      <c r="J244" s="555">
        <f t="shared" si="51"/>
        <v>0</v>
      </c>
      <c r="K244" s="498"/>
    </row>
    <row r="245" spans="1:11" s="476" customFormat="1" ht="15.75">
      <c r="A245" s="496">
        <v>4</v>
      </c>
      <c r="B245" s="477" t="s">
        <v>63</v>
      </c>
      <c r="C245" s="478" t="s">
        <v>63</v>
      </c>
      <c r="D245" s="257">
        <f t="shared" si="54"/>
        <v>261.25</v>
      </c>
      <c r="E245" s="257">
        <f>10.45*25</f>
        <v>261.25</v>
      </c>
      <c r="F245" s="257"/>
      <c r="G245" s="248">
        <f t="shared" si="47"/>
        <v>0</v>
      </c>
      <c r="H245" s="188"/>
      <c r="I245" s="188"/>
      <c r="J245" s="555">
        <f t="shared" si="51"/>
        <v>0</v>
      </c>
      <c r="K245" s="498"/>
    </row>
    <row r="246" spans="1:11" s="476" customFormat="1" ht="15.75">
      <c r="A246" s="496">
        <v>5</v>
      </c>
      <c r="B246" s="477" t="s">
        <v>52</v>
      </c>
      <c r="C246" s="478" t="s">
        <v>52</v>
      </c>
      <c r="D246" s="257">
        <f t="shared" si="54"/>
        <v>334.4</v>
      </c>
      <c r="E246" s="257">
        <f>10.45*32</f>
        <v>334.4</v>
      </c>
      <c r="F246" s="257"/>
      <c r="G246" s="248">
        <f t="shared" si="47"/>
        <v>0</v>
      </c>
      <c r="H246" s="188"/>
      <c r="I246" s="188"/>
      <c r="J246" s="555">
        <f t="shared" si="51"/>
        <v>0</v>
      </c>
      <c r="K246" s="498"/>
    </row>
    <row r="247" spans="1:11" s="476" customFormat="1" ht="15.75">
      <c r="A247" s="496">
        <v>6</v>
      </c>
      <c r="B247" s="477" t="s">
        <v>45</v>
      </c>
      <c r="C247" s="478" t="s">
        <v>45</v>
      </c>
      <c r="D247" s="257">
        <f t="shared" si="54"/>
        <v>125.39999999999999</v>
      </c>
      <c r="E247" s="257">
        <f>10.45*12</f>
        <v>125.39999999999999</v>
      </c>
      <c r="F247" s="257"/>
      <c r="G247" s="248">
        <f t="shared" si="47"/>
        <v>0</v>
      </c>
      <c r="H247" s="188"/>
      <c r="I247" s="188"/>
      <c r="J247" s="555">
        <f t="shared" si="51"/>
        <v>0</v>
      </c>
      <c r="K247" s="498"/>
    </row>
    <row r="248" spans="1:11" s="476" customFormat="1" ht="15.75">
      <c r="A248" s="496">
        <v>7</v>
      </c>
      <c r="B248" s="477" t="s">
        <v>46</v>
      </c>
      <c r="C248" s="478" t="s">
        <v>46</v>
      </c>
      <c r="D248" s="257">
        <f t="shared" si="54"/>
        <v>313.5</v>
      </c>
      <c r="E248" s="257">
        <f>10.45*30</f>
        <v>313.5</v>
      </c>
      <c r="F248" s="257"/>
      <c r="G248" s="248">
        <f t="shared" si="47"/>
        <v>0</v>
      </c>
      <c r="H248" s="188"/>
      <c r="I248" s="188"/>
      <c r="J248" s="555">
        <f t="shared" si="51"/>
        <v>0</v>
      </c>
      <c r="K248" s="498"/>
    </row>
    <row r="249" spans="1:11" s="476" customFormat="1" ht="15.75">
      <c r="A249" s="496">
        <v>8</v>
      </c>
      <c r="B249" s="477" t="s">
        <v>64</v>
      </c>
      <c r="C249" s="478" t="s">
        <v>64</v>
      </c>
      <c r="D249" s="257">
        <f t="shared" si="54"/>
        <v>209</v>
      </c>
      <c r="E249" s="257">
        <f>10.45*20</f>
        <v>209</v>
      </c>
      <c r="F249" s="257"/>
      <c r="G249" s="248">
        <f t="shared" si="47"/>
        <v>0</v>
      </c>
      <c r="H249" s="188"/>
      <c r="I249" s="188"/>
      <c r="J249" s="555">
        <f t="shared" si="51"/>
        <v>0</v>
      </c>
      <c r="K249" s="498"/>
    </row>
    <row r="250" spans="1:11" s="476" customFormat="1" ht="15.75">
      <c r="A250" s="496">
        <v>9</v>
      </c>
      <c r="B250" s="477" t="s">
        <v>65</v>
      </c>
      <c r="C250" s="478" t="s">
        <v>65</v>
      </c>
      <c r="D250" s="257">
        <f t="shared" si="54"/>
        <v>146.29999999999998</v>
      </c>
      <c r="E250" s="257">
        <f>10.45*14</f>
        <v>146.29999999999998</v>
      </c>
      <c r="F250" s="257"/>
      <c r="G250" s="248">
        <f t="shared" si="47"/>
        <v>0</v>
      </c>
      <c r="H250" s="188"/>
      <c r="I250" s="188"/>
      <c r="J250" s="555">
        <f t="shared" si="51"/>
        <v>0</v>
      </c>
      <c r="K250" s="498"/>
    </row>
    <row r="251" spans="1:11" s="476" customFormat="1" ht="15.75">
      <c r="A251" s="496">
        <v>10</v>
      </c>
      <c r="B251" s="477" t="s">
        <v>66</v>
      </c>
      <c r="C251" s="478" t="s">
        <v>66</v>
      </c>
      <c r="D251" s="257">
        <f t="shared" si="54"/>
        <v>167.2</v>
      </c>
      <c r="E251" s="257">
        <f>10.45*16</f>
        <v>167.2</v>
      </c>
      <c r="F251" s="257"/>
      <c r="G251" s="248">
        <f t="shared" si="47"/>
        <v>0</v>
      </c>
      <c r="H251" s="188"/>
      <c r="I251" s="188"/>
      <c r="J251" s="555">
        <f t="shared" si="51"/>
        <v>0</v>
      </c>
      <c r="K251" s="498"/>
    </row>
    <row r="252" spans="1:11" s="476" customFormat="1" ht="15.75">
      <c r="A252" s="496">
        <v>11</v>
      </c>
      <c r="B252" s="477" t="s">
        <v>44</v>
      </c>
      <c r="C252" s="478" t="s">
        <v>44</v>
      </c>
      <c r="D252" s="257">
        <f t="shared" si="54"/>
        <v>229.89999999999998</v>
      </c>
      <c r="E252" s="257">
        <f>10.45*22</f>
        <v>229.89999999999998</v>
      </c>
      <c r="F252" s="257"/>
      <c r="G252" s="248">
        <f t="shared" si="47"/>
        <v>9</v>
      </c>
      <c r="H252" s="188"/>
      <c r="I252" s="188">
        <v>9</v>
      </c>
      <c r="J252" s="555">
        <f>G252/D252*100</f>
        <v>3.9147455415398005</v>
      </c>
      <c r="K252" s="498"/>
    </row>
    <row r="253" spans="1:11" s="510" customFormat="1" ht="15.75">
      <c r="A253" s="504">
        <v>2</v>
      </c>
      <c r="B253" s="505" t="s">
        <v>489</v>
      </c>
      <c r="C253" s="506"/>
      <c r="D253" s="507">
        <f>SUM(D254:D265)</f>
        <v>11755</v>
      </c>
      <c r="E253" s="507">
        <f>SUM(E254:E265)</f>
        <v>11755</v>
      </c>
      <c r="F253" s="507"/>
      <c r="G253" s="248">
        <f t="shared" si="47"/>
        <v>0</v>
      </c>
      <c r="H253" s="508"/>
      <c r="I253" s="508"/>
      <c r="J253" s="555">
        <f t="shared" ref="J253:J302" si="55">G253/D253*100</f>
        <v>0</v>
      </c>
      <c r="K253" s="509"/>
    </row>
    <row r="254" spans="1:11" s="476" customFormat="1" ht="15.75">
      <c r="A254" s="487" t="s">
        <v>36</v>
      </c>
      <c r="B254" s="503" t="s">
        <v>462</v>
      </c>
      <c r="C254" s="482" t="s">
        <v>801</v>
      </c>
      <c r="D254" s="257">
        <f>E254</f>
        <v>2169</v>
      </c>
      <c r="E254" s="257">
        <f>1179+990</f>
        <v>2169</v>
      </c>
      <c r="F254" s="257"/>
      <c r="G254" s="248">
        <f t="shared" si="47"/>
        <v>0</v>
      </c>
      <c r="H254" s="497"/>
      <c r="I254" s="497"/>
      <c r="J254" s="555">
        <f t="shared" si="55"/>
        <v>0</v>
      </c>
      <c r="K254" s="498"/>
    </row>
    <row r="255" spans="1:11" s="476" customFormat="1" ht="15.75">
      <c r="A255" s="496">
        <v>1</v>
      </c>
      <c r="B255" s="477" t="s">
        <v>62</v>
      </c>
      <c r="C255" s="478" t="s">
        <v>62</v>
      </c>
      <c r="D255" s="257">
        <f>E255</f>
        <v>854</v>
      </c>
      <c r="E255" s="257">
        <f>940-86</f>
        <v>854</v>
      </c>
      <c r="F255" s="257"/>
      <c r="G255" s="248">
        <f t="shared" si="47"/>
        <v>0</v>
      </c>
      <c r="H255" s="188"/>
      <c r="I255" s="188"/>
      <c r="J255" s="555">
        <f t="shared" si="55"/>
        <v>0</v>
      </c>
      <c r="K255" s="498"/>
    </row>
    <row r="256" spans="1:11" s="476" customFormat="1" ht="15.75">
      <c r="A256" s="496">
        <v>2</v>
      </c>
      <c r="B256" s="477" t="s">
        <v>51</v>
      </c>
      <c r="C256" s="478" t="s">
        <v>51</v>
      </c>
      <c r="D256" s="257">
        <f t="shared" ref="D256:D265" si="56">E256</f>
        <v>926</v>
      </c>
      <c r="E256" s="257">
        <f>1016-90</f>
        <v>926</v>
      </c>
      <c r="F256" s="257"/>
      <c r="G256" s="248">
        <f t="shared" si="47"/>
        <v>0</v>
      </c>
      <c r="H256" s="188"/>
      <c r="I256" s="188"/>
      <c r="J256" s="555">
        <f t="shared" si="55"/>
        <v>0</v>
      </c>
      <c r="K256" s="498"/>
    </row>
    <row r="257" spans="1:11" s="476" customFormat="1" ht="15.75">
      <c r="A257" s="496">
        <v>3</v>
      </c>
      <c r="B257" s="477" t="s">
        <v>42</v>
      </c>
      <c r="C257" s="478" t="s">
        <v>42</v>
      </c>
      <c r="D257" s="257">
        <f t="shared" si="56"/>
        <v>865</v>
      </c>
      <c r="E257" s="257">
        <f>952-87</f>
        <v>865</v>
      </c>
      <c r="F257" s="257"/>
      <c r="G257" s="248">
        <f t="shared" si="47"/>
        <v>0</v>
      </c>
      <c r="H257" s="188"/>
      <c r="I257" s="188"/>
      <c r="J257" s="555">
        <f t="shared" si="55"/>
        <v>0</v>
      </c>
      <c r="K257" s="498"/>
    </row>
    <row r="258" spans="1:11" s="476" customFormat="1" ht="15.75">
      <c r="A258" s="496">
        <v>4</v>
      </c>
      <c r="B258" s="477" t="s">
        <v>63</v>
      </c>
      <c r="C258" s="478" t="s">
        <v>63</v>
      </c>
      <c r="D258" s="257">
        <f t="shared" si="56"/>
        <v>830</v>
      </c>
      <c r="E258" s="257">
        <f>915-85</f>
        <v>830</v>
      </c>
      <c r="F258" s="257"/>
      <c r="G258" s="248">
        <f t="shared" si="47"/>
        <v>0</v>
      </c>
      <c r="H258" s="188"/>
      <c r="I258" s="188"/>
      <c r="J258" s="555">
        <f t="shared" si="55"/>
        <v>0</v>
      </c>
      <c r="K258" s="498"/>
    </row>
    <row r="259" spans="1:11" s="476" customFormat="1" ht="15.75">
      <c r="A259" s="496">
        <v>5</v>
      </c>
      <c r="B259" s="477" t="s">
        <v>52</v>
      </c>
      <c r="C259" s="478" t="s">
        <v>52</v>
      </c>
      <c r="D259" s="257">
        <f t="shared" si="56"/>
        <v>812</v>
      </c>
      <c r="E259" s="257">
        <f>903-91</f>
        <v>812</v>
      </c>
      <c r="F259" s="257"/>
      <c r="G259" s="248">
        <f t="shared" si="47"/>
        <v>0</v>
      </c>
      <c r="H259" s="188"/>
      <c r="I259" s="188"/>
      <c r="J259" s="555">
        <f t="shared" si="55"/>
        <v>0</v>
      </c>
      <c r="K259" s="498"/>
    </row>
    <row r="260" spans="1:11" ht="15.75">
      <c r="A260" s="167">
        <v>6</v>
      </c>
      <c r="B260" s="166" t="s">
        <v>45</v>
      </c>
      <c r="C260" s="197" t="s">
        <v>45</v>
      </c>
      <c r="D260" s="257">
        <f t="shared" si="56"/>
        <v>911</v>
      </c>
      <c r="E260" s="254">
        <f>1004-93</f>
        <v>911</v>
      </c>
      <c r="F260" s="254"/>
      <c r="G260" s="248">
        <f t="shared" si="47"/>
        <v>0</v>
      </c>
      <c r="H260" s="188"/>
      <c r="I260" s="188"/>
      <c r="J260" s="555">
        <f t="shared" si="55"/>
        <v>0</v>
      </c>
      <c r="K260" s="168"/>
    </row>
    <row r="261" spans="1:11" ht="15.75">
      <c r="A261" s="167">
        <v>7</v>
      </c>
      <c r="B261" s="166" t="s">
        <v>46</v>
      </c>
      <c r="C261" s="197" t="s">
        <v>46</v>
      </c>
      <c r="D261" s="257">
        <f t="shared" si="56"/>
        <v>897</v>
      </c>
      <c r="E261" s="254">
        <f>991-94</f>
        <v>897</v>
      </c>
      <c r="F261" s="254"/>
      <c r="G261" s="248">
        <f t="shared" si="47"/>
        <v>0</v>
      </c>
      <c r="H261" s="188"/>
      <c r="I261" s="188"/>
      <c r="J261" s="555">
        <f t="shared" si="55"/>
        <v>0</v>
      </c>
      <c r="K261" s="168"/>
    </row>
    <row r="262" spans="1:11" ht="15.75">
      <c r="A262" s="167">
        <v>8</v>
      </c>
      <c r="B262" s="166" t="s">
        <v>64</v>
      </c>
      <c r="C262" s="197" t="s">
        <v>64</v>
      </c>
      <c r="D262" s="257">
        <f t="shared" si="56"/>
        <v>916</v>
      </c>
      <c r="E262" s="254">
        <f>1006-90</f>
        <v>916</v>
      </c>
      <c r="F262" s="254"/>
      <c r="G262" s="248">
        <f t="shared" si="47"/>
        <v>0</v>
      </c>
      <c r="H262" s="188"/>
      <c r="I262" s="188"/>
      <c r="J262" s="555">
        <f t="shared" si="55"/>
        <v>0</v>
      </c>
      <c r="K262" s="168"/>
    </row>
    <row r="263" spans="1:11" ht="15.75">
      <c r="A263" s="167">
        <v>9</v>
      </c>
      <c r="B263" s="166" t="s">
        <v>65</v>
      </c>
      <c r="C263" s="197" t="s">
        <v>65</v>
      </c>
      <c r="D263" s="257">
        <f t="shared" si="56"/>
        <v>810</v>
      </c>
      <c r="E263" s="254">
        <f>903-93</f>
        <v>810</v>
      </c>
      <c r="F263" s="254"/>
      <c r="G263" s="248">
        <f t="shared" si="47"/>
        <v>0</v>
      </c>
      <c r="H263" s="188"/>
      <c r="I263" s="188"/>
      <c r="J263" s="555">
        <f t="shared" si="55"/>
        <v>0</v>
      </c>
      <c r="K263" s="168"/>
    </row>
    <row r="264" spans="1:11" ht="15.75">
      <c r="A264" s="167">
        <v>10</v>
      </c>
      <c r="B264" s="166" t="s">
        <v>66</v>
      </c>
      <c r="C264" s="197" t="s">
        <v>66</v>
      </c>
      <c r="D264" s="257">
        <f t="shared" si="56"/>
        <v>871</v>
      </c>
      <c r="E264" s="254">
        <f>961-90</f>
        <v>871</v>
      </c>
      <c r="F264" s="254"/>
      <c r="G264" s="248">
        <f t="shared" si="47"/>
        <v>0</v>
      </c>
      <c r="H264" s="188"/>
      <c r="I264" s="188"/>
      <c r="J264" s="555">
        <f t="shared" si="55"/>
        <v>0</v>
      </c>
      <c r="K264" s="168"/>
    </row>
    <row r="265" spans="1:11" ht="15.75">
      <c r="A265" s="167">
        <v>11</v>
      </c>
      <c r="B265" s="166" t="s">
        <v>44</v>
      </c>
      <c r="C265" s="197" t="s">
        <v>44</v>
      </c>
      <c r="D265" s="257">
        <f t="shared" si="56"/>
        <v>894</v>
      </c>
      <c r="E265" s="254">
        <f>986-92</f>
        <v>894</v>
      </c>
      <c r="F265" s="254"/>
      <c r="G265" s="248">
        <f t="shared" si="47"/>
        <v>0</v>
      </c>
      <c r="H265" s="188"/>
      <c r="I265" s="188"/>
      <c r="J265" s="555">
        <f t="shared" si="55"/>
        <v>0</v>
      </c>
      <c r="K265" s="168"/>
    </row>
    <row r="266" spans="1:11" ht="15.75">
      <c r="A266" s="167" t="s">
        <v>13</v>
      </c>
      <c r="B266" s="171" t="s">
        <v>33</v>
      </c>
      <c r="C266" s="196"/>
      <c r="D266" s="255">
        <f>SUM(D268:D278)</f>
        <v>3369</v>
      </c>
      <c r="E266" s="255">
        <f>SUM(E268:E278)</f>
        <v>3369</v>
      </c>
      <c r="F266" s="255"/>
      <c r="G266" s="248">
        <f t="shared" si="47"/>
        <v>0</v>
      </c>
      <c r="H266" s="188"/>
      <c r="I266" s="188"/>
      <c r="J266" s="555">
        <f t="shared" si="55"/>
        <v>0</v>
      </c>
      <c r="K266" s="168"/>
    </row>
    <row r="267" spans="1:11" s="240" customFormat="1" ht="15.75">
      <c r="A267" s="235">
        <v>1</v>
      </c>
      <c r="B267" s="236" t="s">
        <v>488</v>
      </c>
      <c r="C267" s="237"/>
      <c r="D267" s="256">
        <f>SUM(D268:D278)</f>
        <v>3369</v>
      </c>
      <c r="E267" s="256">
        <f>SUM(E268:E278)</f>
        <v>3369</v>
      </c>
      <c r="F267" s="256"/>
      <c r="G267" s="248">
        <f t="shared" ref="G267:G300" si="57">H267+I267</f>
        <v>0</v>
      </c>
      <c r="H267" s="238"/>
      <c r="I267" s="238"/>
      <c r="J267" s="555">
        <f t="shared" si="55"/>
        <v>0</v>
      </c>
      <c r="K267" s="239"/>
    </row>
    <row r="268" spans="1:11" ht="15.75">
      <c r="A268" s="167">
        <v>1</v>
      </c>
      <c r="B268" s="166" t="s">
        <v>62</v>
      </c>
      <c r="C268" s="197" t="s">
        <v>62</v>
      </c>
      <c r="D268" s="257">
        <f>E268</f>
        <v>297</v>
      </c>
      <c r="E268" s="254">
        <v>297</v>
      </c>
      <c r="F268" s="254"/>
      <c r="G268" s="248">
        <f t="shared" si="57"/>
        <v>0</v>
      </c>
      <c r="H268" s="188"/>
      <c r="I268" s="188"/>
      <c r="J268" s="555">
        <f t="shared" si="55"/>
        <v>0</v>
      </c>
      <c r="K268" s="168"/>
    </row>
    <row r="269" spans="1:11" ht="15.75">
      <c r="A269" s="167">
        <v>2</v>
      </c>
      <c r="B269" s="166" t="s">
        <v>51</v>
      </c>
      <c r="C269" s="197" t="s">
        <v>51</v>
      </c>
      <c r="D269" s="257">
        <f t="shared" ref="D269:D278" si="58">E269</f>
        <v>331</v>
      </c>
      <c r="E269" s="254">
        <v>331</v>
      </c>
      <c r="F269" s="254"/>
      <c r="G269" s="248">
        <f t="shared" si="57"/>
        <v>0</v>
      </c>
      <c r="H269" s="188"/>
      <c r="I269" s="188"/>
      <c r="J269" s="555">
        <f t="shared" si="55"/>
        <v>0</v>
      </c>
      <c r="K269" s="168"/>
    </row>
    <row r="270" spans="1:11" ht="15.75">
      <c r="A270" s="167">
        <v>3</v>
      </c>
      <c r="B270" s="166" t="s">
        <v>42</v>
      </c>
      <c r="C270" s="197" t="s">
        <v>42</v>
      </c>
      <c r="D270" s="257">
        <f t="shared" si="58"/>
        <v>300</v>
      </c>
      <c r="E270" s="254">
        <v>300</v>
      </c>
      <c r="F270" s="254"/>
      <c r="G270" s="248">
        <f t="shared" si="57"/>
        <v>0</v>
      </c>
      <c r="H270" s="188"/>
      <c r="I270" s="188"/>
      <c r="J270" s="555">
        <f t="shared" si="55"/>
        <v>0</v>
      </c>
      <c r="K270" s="168"/>
    </row>
    <row r="271" spans="1:11" ht="15.75">
      <c r="A271" s="167">
        <v>4</v>
      </c>
      <c r="B271" s="166" t="s">
        <v>63</v>
      </c>
      <c r="C271" s="197" t="s">
        <v>63</v>
      </c>
      <c r="D271" s="257">
        <f t="shared" si="58"/>
        <v>292</v>
      </c>
      <c r="E271" s="254">
        <v>292</v>
      </c>
      <c r="F271" s="254"/>
      <c r="G271" s="248">
        <f t="shared" si="57"/>
        <v>0</v>
      </c>
      <c r="H271" s="188"/>
      <c r="I271" s="188"/>
      <c r="J271" s="555">
        <f t="shared" si="55"/>
        <v>0</v>
      </c>
      <c r="K271" s="168"/>
    </row>
    <row r="272" spans="1:11" ht="15.75">
      <c r="A272" s="167">
        <v>5</v>
      </c>
      <c r="B272" s="166" t="s">
        <v>52</v>
      </c>
      <c r="C272" s="197" t="s">
        <v>52</v>
      </c>
      <c r="D272" s="257">
        <f t="shared" si="58"/>
        <v>289</v>
      </c>
      <c r="E272" s="254">
        <v>289</v>
      </c>
      <c r="F272" s="254"/>
      <c r="G272" s="248">
        <f t="shared" si="57"/>
        <v>0</v>
      </c>
      <c r="H272" s="188"/>
      <c r="I272" s="188"/>
      <c r="J272" s="555">
        <f t="shared" si="55"/>
        <v>0</v>
      </c>
      <c r="K272" s="168"/>
    </row>
    <row r="273" spans="1:11" ht="15.75">
      <c r="A273" s="167">
        <v>6</v>
      </c>
      <c r="B273" s="166" t="s">
        <v>45</v>
      </c>
      <c r="C273" s="197" t="s">
        <v>45</v>
      </c>
      <c r="D273" s="257">
        <f t="shared" si="58"/>
        <v>328</v>
      </c>
      <c r="E273" s="254">
        <v>328</v>
      </c>
      <c r="F273" s="254"/>
      <c r="G273" s="248">
        <f t="shared" si="57"/>
        <v>0</v>
      </c>
      <c r="H273" s="188"/>
      <c r="I273" s="188"/>
      <c r="J273" s="555">
        <f t="shared" si="55"/>
        <v>0</v>
      </c>
      <c r="K273" s="168"/>
    </row>
    <row r="274" spans="1:11" ht="15.75">
      <c r="A274" s="167">
        <v>7</v>
      </c>
      <c r="B274" s="166" t="s">
        <v>46</v>
      </c>
      <c r="C274" s="197" t="s">
        <v>46</v>
      </c>
      <c r="D274" s="257">
        <f t="shared" si="58"/>
        <v>325</v>
      </c>
      <c r="E274" s="254">
        <v>325</v>
      </c>
      <c r="F274" s="254"/>
      <c r="G274" s="248">
        <f t="shared" si="57"/>
        <v>0</v>
      </c>
      <c r="H274" s="188"/>
      <c r="I274" s="188"/>
      <c r="J274" s="555">
        <f t="shared" si="55"/>
        <v>0</v>
      </c>
      <c r="K274" s="168"/>
    </row>
    <row r="275" spans="1:11" ht="15.75">
      <c r="A275" s="167">
        <v>8</v>
      </c>
      <c r="B275" s="166" t="s">
        <v>64</v>
      </c>
      <c r="C275" s="197" t="s">
        <v>64</v>
      </c>
      <c r="D275" s="257">
        <f t="shared" si="58"/>
        <v>311</v>
      </c>
      <c r="E275" s="254">
        <v>311</v>
      </c>
      <c r="F275" s="254"/>
      <c r="G275" s="248">
        <f t="shared" si="57"/>
        <v>0</v>
      </c>
      <c r="H275" s="188"/>
      <c r="I275" s="188"/>
      <c r="J275" s="555">
        <f t="shared" si="55"/>
        <v>0</v>
      </c>
      <c r="K275" s="168"/>
    </row>
    <row r="276" spans="1:11" ht="15.75">
      <c r="A276" s="167">
        <v>9</v>
      </c>
      <c r="B276" s="166" t="s">
        <v>65</v>
      </c>
      <c r="C276" s="197" t="s">
        <v>65</v>
      </c>
      <c r="D276" s="257">
        <f t="shared" si="58"/>
        <v>289</v>
      </c>
      <c r="E276" s="254">
        <v>289</v>
      </c>
      <c r="F276" s="254"/>
      <c r="G276" s="248">
        <f t="shared" si="57"/>
        <v>0</v>
      </c>
      <c r="H276" s="188"/>
      <c r="I276" s="188"/>
      <c r="J276" s="555">
        <f t="shared" si="55"/>
        <v>0</v>
      </c>
      <c r="K276" s="168"/>
    </row>
    <row r="277" spans="1:11" ht="15.75">
      <c r="A277" s="167">
        <v>10</v>
      </c>
      <c r="B277" s="166" t="s">
        <v>66</v>
      </c>
      <c r="C277" s="197" t="s">
        <v>66</v>
      </c>
      <c r="D277" s="257">
        <f t="shared" si="58"/>
        <v>301</v>
      </c>
      <c r="E277" s="254">
        <v>301</v>
      </c>
      <c r="F277" s="254"/>
      <c r="G277" s="248">
        <f t="shared" si="57"/>
        <v>0</v>
      </c>
      <c r="H277" s="188"/>
      <c r="I277" s="188"/>
      <c r="J277" s="555">
        <f t="shared" si="55"/>
        <v>0</v>
      </c>
      <c r="K277" s="168"/>
    </row>
    <row r="278" spans="1:11" ht="15.75">
      <c r="A278" s="167">
        <v>11</v>
      </c>
      <c r="B278" s="166" t="s">
        <v>44</v>
      </c>
      <c r="C278" s="197" t="s">
        <v>44</v>
      </c>
      <c r="D278" s="257">
        <f t="shared" si="58"/>
        <v>306</v>
      </c>
      <c r="E278" s="254">
        <v>306</v>
      </c>
      <c r="F278" s="254"/>
      <c r="G278" s="248">
        <f t="shared" si="57"/>
        <v>0</v>
      </c>
      <c r="H278" s="188"/>
      <c r="I278" s="188"/>
      <c r="J278" s="555">
        <f t="shared" si="55"/>
        <v>0</v>
      </c>
      <c r="K278" s="168"/>
    </row>
    <row r="279" spans="1:11" s="165" customFormat="1" ht="15.75">
      <c r="A279" s="172" t="s">
        <v>14</v>
      </c>
      <c r="B279" s="171" t="s">
        <v>490</v>
      </c>
      <c r="C279" s="234"/>
      <c r="D279" s="255">
        <f>D280+D282+D285</f>
        <v>4018</v>
      </c>
      <c r="E279" s="255">
        <f t="shared" ref="E279:H279" si="59">E280+E282+E285</f>
        <v>4018</v>
      </c>
      <c r="F279" s="255"/>
      <c r="G279" s="248">
        <f t="shared" si="57"/>
        <v>0</v>
      </c>
      <c r="H279" s="186">
        <f t="shared" si="59"/>
        <v>0</v>
      </c>
      <c r="I279" s="186"/>
      <c r="J279" s="555">
        <f t="shared" si="55"/>
        <v>0</v>
      </c>
      <c r="K279" s="169"/>
    </row>
    <row r="280" spans="1:11" s="240" customFormat="1" ht="15.75">
      <c r="A280" s="235">
        <v>1</v>
      </c>
      <c r="B280" s="236" t="s">
        <v>488</v>
      </c>
      <c r="C280" s="237"/>
      <c r="D280" s="256">
        <f>D281</f>
        <v>413</v>
      </c>
      <c r="E280" s="256">
        <f>E281</f>
        <v>413</v>
      </c>
      <c r="F280" s="256"/>
      <c r="G280" s="248">
        <f t="shared" si="57"/>
        <v>0</v>
      </c>
      <c r="H280" s="238"/>
      <c r="I280" s="238"/>
      <c r="J280" s="555">
        <f t="shared" si="55"/>
        <v>0</v>
      </c>
      <c r="K280" s="239"/>
    </row>
    <row r="281" spans="1:11" ht="30">
      <c r="A281" s="170" t="s">
        <v>58</v>
      </c>
      <c r="B281" s="173" t="s">
        <v>466</v>
      </c>
      <c r="C281" s="196" t="s">
        <v>466</v>
      </c>
      <c r="D281" s="254">
        <f>E281</f>
        <v>413</v>
      </c>
      <c r="E281" s="254">
        <v>413</v>
      </c>
      <c r="F281" s="254"/>
      <c r="G281" s="248">
        <f t="shared" si="57"/>
        <v>0</v>
      </c>
      <c r="H281" s="184"/>
      <c r="I281" s="184"/>
      <c r="J281" s="555">
        <f t="shared" si="55"/>
        <v>0</v>
      </c>
      <c r="K281" s="168"/>
    </row>
    <row r="282" spans="1:11" s="240" customFormat="1" ht="15.75">
      <c r="A282" s="235">
        <v>2</v>
      </c>
      <c r="B282" s="236" t="s">
        <v>492</v>
      </c>
      <c r="C282" s="237"/>
      <c r="D282" s="256">
        <f>SUM(D283:D284)</f>
        <v>3000</v>
      </c>
      <c r="E282" s="256">
        <f>SUM(E283:E284)</f>
        <v>3000</v>
      </c>
      <c r="F282" s="256"/>
      <c r="G282" s="248">
        <f t="shared" si="57"/>
        <v>0</v>
      </c>
      <c r="H282" s="238"/>
      <c r="I282" s="238"/>
      <c r="J282" s="555">
        <f t="shared" si="55"/>
        <v>0</v>
      </c>
      <c r="K282" s="239"/>
    </row>
    <row r="283" spans="1:11" ht="24" customHeight="1">
      <c r="A283" s="170" t="s">
        <v>29</v>
      </c>
      <c r="B283" s="173" t="s">
        <v>462</v>
      </c>
      <c r="C283" s="196" t="s">
        <v>801</v>
      </c>
      <c r="D283" s="254">
        <f t="shared" ref="D283" si="60">E283</f>
        <v>1500</v>
      </c>
      <c r="E283" s="254">
        <v>1500</v>
      </c>
      <c r="F283" s="254"/>
      <c r="G283" s="248">
        <f t="shared" si="57"/>
        <v>0</v>
      </c>
      <c r="H283" s="184"/>
      <c r="I283" s="184"/>
      <c r="J283" s="555">
        <f t="shared" si="55"/>
        <v>0</v>
      </c>
      <c r="K283" s="168"/>
    </row>
    <row r="284" spans="1:11" ht="30">
      <c r="A284" s="170" t="s">
        <v>110</v>
      </c>
      <c r="B284" s="174" t="s">
        <v>40</v>
      </c>
      <c r="C284" s="198" t="s">
        <v>40</v>
      </c>
      <c r="D284" s="254">
        <f>E284</f>
        <v>1500</v>
      </c>
      <c r="E284" s="254">
        <v>1500</v>
      </c>
      <c r="F284" s="254"/>
      <c r="G284" s="248">
        <f t="shared" si="57"/>
        <v>0</v>
      </c>
      <c r="H284" s="184"/>
      <c r="I284" s="184"/>
      <c r="J284" s="555">
        <f t="shared" si="55"/>
        <v>0</v>
      </c>
      <c r="K284" s="168"/>
    </row>
    <row r="285" spans="1:11" s="240" customFormat="1" ht="15.75">
      <c r="A285" s="235">
        <v>3</v>
      </c>
      <c r="B285" s="236" t="s">
        <v>491</v>
      </c>
      <c r="C285" s="237"/>
      <c r="D285" s="256">
        <f>D286</f>
        <v>605</v>
      </c>
      <c r="E285" s="256">
        <f>E286</f>
        <v>605</v>
      </c>
      <c r="F285" s="256"/>
      <c r="G285" s="248">
        <f t="shared" si="57"/>
        <v>0</v>
      </c>
      <c r="H285" s="238"/>
      <c r="I285" s="238"/>
      <c r="J285" s="555">
        <f t="shared" si="55"/>
        <v>0</v>
      </c>
      <c r="K285" s="239"/>
    </row>
    <row r="286" spans="1:11" ht="15.75">
      <c r="A286" s="170" t="s">
        <v>29</v>
      </c>
      <c r="B286" s="173" t="s">
        <v>68</v>
      </c>
      <c r="C286" s="196" t="s">
        <v>68</v>
      </c>
      <c r="D286" s="254">
        <f>E286</f>
        <v>605</v>
      </c>
      <c r="E286" s="254">
        <v>605</v>
      </c>
      <c r="F286" s="254"/>
      <c r="G286" s="248">
        <f t="shared" si="57"/>
        <v>0</v>
      </c>
      <c r="H286" s="184"/>
      <c r="I286" s="184"/>
      <c r="J286" s="555">
        <f t="shared" si="55"/>
        <v>0</v>
      </c>
      <c r="K286" s="168"/>
    </row>
    <row r="287" spans="1:11" s="165" customFormat="1" ht="15.75">
      <c r="A287" s="172" t="s">
        <v>147</v>
      </c>
      <c r="B287" s="171" t="s">
        <v>38</v>
      </c>
      <c r="C287" s="196"/>
      <c r="D287" s="255">
        <f>D288</f>
        <v>464</v>
      </c>
      <c r="E287" s="255">
        <f>E288</f>
        <v>464</v>
      </c>
      <c r="F287" s="255"/>
      <c r="G287" s="248">
        <f t="shared" si="57"/>
        <v>0</v>
      </c>
      <c r="H287" s="186"/>
      <c r="I287" s="186"/>
      <c r="J287" s="555">
        <f t="shared" si="55"/>
        <v>0</v>
      </c>
      <c r="K287" s="169"/>
    </row>
    <row r="288" spans="1:11" ht="30">
      <c r="A288" s="170" t="s">
        <v>29</v>
      </c>
      <c r="B288" s="175" t="s">
        <v>453</v>
      </c>
      <c r="C288" s="199" t="s">
        <v>825</v>
      </c>
      <c r="D288" s="254">
        <f>E288</f>
        <v>464</v>
      </c>
      <c r="E288" s="254">
        <v>464</v>
      </c>
      <c r="F288" s="254"/>
      <c r="G288" s="248">
        <f t="shared" si="57"/>
        <v>0</v>
      </c>
      <c r="H288" s="184"/>
      <c r="I288" s="184"/>
      <c r="J288" s="555">
        <f t="shared" si="55"/>
        <v>0</v>
      </c>
      <c r="K288" s="168"/>
    </row>
    <row r="289" spans="1:11" s="165" customFormat="1" ht="15.75">
      <c r="A289" s="172" t="s">
        <v>15</v>
      </c>
      <c r="B289" s="171" t="s">
        <v>465</v>
      </c>
      <c r="C289" s="196"/>
      <c r="D289" s="255">
        <f>D290</f>
        <v>1280</v>
      </c>
      <c r="E289" s="255">
        <f>E290</f>
        <v>1280</v>
      </c>
      <c r="F289" s="255"/>
      <c r="G289" s="248">
        <f t="shared" si="57"/>
        <v>0</v>
      </c>
      <c r="H289" s="186"/>
      <c r="I289" s="186"/>
      <c r="J289" s="555">
        <f t="shared" si="55"/>
        <v>0</v>
      </c>
      <c r="K289" s="169"/>
    </row>
    <row r="290" spans="1:11" ht="15.75">
      <c r="A290" s="170" t="s">
        <v>59</v>
      </c>
      <c r="B290" s="173" t="s">
        <v>69</v>
      </c>
      <c r="C290" s="196" t="s">
        <v>69</v>
      </c>
      <c r="D290" s="254">
        <f>E290</f>
        <v>1280</v>
      </c>
      <c r="E290" s="254">
        <v>1280</v>
      </c>
      <c r="F290" s="254"/>
      <c r="G290" s="248">
        <f t="shared" si="57"/>
        <v>0</v>
      </c>
      <c r="H290" s="184"/>
      <c r="I290" s="184"/>
      <c r="J290" s="555">
        <f t="shared" si="55"/>
        <v>0</v>
      </c>
      <c r="K290" s="168"/>
    </row>
    <row r="291" spans="1:11" s="165" customFormat="1" ht="15.75">
      <c r="A291" s="172" t="s">
        <v>16</v>
      </c>
      <c r="B291" s="171" t="s">
        <v>467</v>
      </c>
      <c r="C291" s="234"/>
      <c r="D291" s="255">
        <f t="shared" ref="D291:D292" si="61">E291</f>
        <v>323</v>
      </c>
      <c r="E291" s="255">
        <f>E292</f>
        <v>323</v>
      </c>
      <c r="F291" s="255"/>
      <c r="G291" s="248">
        <f t="shared" si="57"/>
        <v>0</v>
      </c>
      <c r="H291" s="186"/>
      <c r="I291" s="186"/>
      <c r="J291" s="555">
        <f t="shared" si="55"/>
        <v>0</v>
      </c>
      <c r="K291" s="169"/>
    </row>
    <row r="292" spans="1:11" ht="15.75">
      <c r="A292" s="170" t="s">
        <v>60</v>
      </c>
      <c r="B292" s="173" t="s">
        <v>70</v>
      </c>
      <c r="C292" s="196" t="s">
        <v>70</v>
      </c>
      <c r="D292" s="254">
        <f t="shared" si="61"/>
        <v>323</v>
      </c>
      <c r="E292" s="254">
        <v>323</v>
      </c>
      <c r="F292" s="254"/>
      <c r="G292" s="248">
        <f t="shared" si="57"/>
        <v>0</v>
      </c>
      <c r="H292" s="184"/>
      <c r="I292" s="184"/>
      <c r="J292" s="555">
        <f t="shared" si="55"/>
        <v>0</v>
      </c>
      <c r="K292" s="168"/>
    </row>
    <row r="293" spans="1:11" s="165" customFormat="1" ht="15.75">
      <c r="A293" s="172" t="s">
        <v>485</v>
      </c>
      <c r="B293" s="171" t="s">
        <v>493</v>
      </c>
      <c r="C293" s="234"/>
      <c r="D293" s="255">
        <f>D294+D296+D298</f>
        <v>1088</v>
      </c>
      <c r="E293" s="255">
        <f t="shared" ref="E293" si="62">E294+E296+E298</f>
        <v>1088</v>
      </c>
      <c r="F293" s="255"/>
      <c r="G293" s="248">
        <f t="shared" si="57"/>
        <v>0</v>
      </c>
      <c r="H293" s="186"/>
      <c r="I293" s="186"/>
      <c r="J293" s="555">
        <f t="shared" si="55"/>
        <v>0</v>
      </c>
      <c r="K293" s="169"/>
    </row>
    <row r="294" spans="1:11" s="240" customFormat="1" ht="15.75">
      <c r="A294" s="235">
        <v>1</v>
      </c>
      <c r="B294" s="236" t="s">
        <v>488</v>
      </c>
      <c r="C294" s="237"/>
      <c r="D294" s="256">
        <f>D295</f>
        <v>706</v>
      </c>
      <c r="E294" s="256">
        <f>E295</f>
        <v>706</v>
      </c>
      <c r="F294" s="256"/>
      <c r="G294" s="248">
        <f t="shared" si="57"/>
        <v>0</v>
      </c>
      <c r="H294" s="238"/>
      <c r="I294" s="238"/>
      <c r="J294" s="555">
        <f t="shared" si="55"/>
        <v>0</v>
      </c>
      <c r="K294" s="239"/>
    </row>
    <row r="295" spans="1:11" ht="15.75">
      <c r="A295" s="170"/>
      <c r="B295" s="173" t="s">
        <v>68</v>
      </c>
      <c r="C295" s="196" t="s">
        <v>68</v>
      </c>
      <c r="D295" s="254">
        <f>E295</f>
        <v>706</v>
      </c>
      <c r="E295" s="254">
        <v>706</v>
      </c>
      <c r="F295" s="254"/>
      <c r="G295" s="248">
        <f t="shared" si="57"/>
        <v>0</v>
      </c>
      <c r="H295" s="184"/>
      <c r="I295" s="184"/>
      <c r="J295" s="555">
        <f t="shared" si="55"/>
        <v>0</v>
      </c>
      <c r="K295" s="168"/>
    </row>
    <row r="296" spans="1:11" s="240" customFormat="1" ht="15.75">
      <c r="A296" s="235">
        <v>2</v>
      </c>
      <c r="B296" s="236" t="s">
        <v>489</v>
      </c>
      <c r="C296" s="237"/>
      <c r="D296" s="256">
        <f>D297</f>
        <v>126</v>
      </c>
      <c r="E296" s="256">
        <f t="shared" ref="E296" si="63">E297</f>
        <v>126</v>
      </c>
      <c r="F296" s="256"/>
      <c r="G296" s="248">
        <f t="shared" si="57"/>
        <v>0</v>
      </c>
      <c r="H296" s="238"/>
      <c r="I296" s="238"/>
      <c r="J296" s="555">
        <f t="shared" si="55"/>
        <v>0</v>
      </c>
      <c r="K296" s="239"/>
    </row>
    <row r="297" spans="1:11" ht="30">
      <c r="A297" s="170"/>
      <c r="B297" s="175" t="s">
        <v>453</v>
      </c>
      <c r="C297" s="199" t="s">
        <v>825</v>
      </c>
      <c r="D297" s="254">
        <f t="shared" ref="D297" si="64">E297</f>
        <v>126</v>
      </c>
      <c r="E297" s="254">
        <v>126</v>
      </c>
      <c r="F297" s="254"/>
      <c r="G297" s="248">
        <f t="shared" si="57"/>
        <v>0</v>
      </c>
      <c r="H297" s="184"/>
      <c r="I297" s="184"/>
      <c r="J297" s="555">
        <f t="shared" si="55"/>
        <v>0</v>
      </c>
      <c r="K297" s="168"/>
    </row>
    <row r="298" spans="1:11" s="240" customFormat="1" ht="15.75">
      <c r="A298" s="235">
        <v>3</v>
      </c>
      <c r="B298" s="236" t="s">
        <v>492</v>
      </c>
      <c r="C298" s="237"/>
      <c r="D298" s="256">
        <f>D299</f>
        <v>256</v>
      </c>
      <c r="E298" s="256">
        <f t="shared" ref="E298" si="65">E299</f>
        <v>256</v>
      </c>
      <c r="F298" s="256"/>
      <c r="G298" s="248">
        <f t="shared" si="57"/>
        <v>0</v>
      </c>
      <c r="H298" s="238"/>
      <c r="I298" s="238"/>
      <c r="J298" s="555">
        <f t="shared" si="55"/>
        <v>0</v>
      </c>
      <c r="K298" s="239"/>
    </row>
    <row r="299" spans="1:11" ht="15.75">
      <c r="A299" s="170"/>
      <c r="B299" s="173" t="s">
        <v>68</v>
      </c>
      <c r="C299" s="196" t="s">
        <v>68</v>
      </c>
      <c r="D299" s="254">
        <f t="shared" ref="D299" si="66">E299</f>
        <v>256</v>
      </c>
      <c r="E299" s="254">
        <v>256</v>
      </c>
      <c r="F299" s="254"/>
      <c r="G299" s="248">
        <f t="shared" si="57"/>
        <v>0</v>
      </c>
      <c r="H299" s="184"/>
      <c r="I299" s="184"/>
      <c r="J299" s="555">
        <f t="shared" si="55"/>
        <v>0</v>
      </c>
      <c r="K299" s="168"/>
    </row>
    <row r="300" spans="1:11" ht="31.5">
      <c r="A300" s="162" t="s">
        <v>13</v>
      </c>
      <c r="B300" s="176" t="s">
        <v>833</v>
      </c>
      <c r="C300" s="197"/>
      <c r="D300" s="255">
        <f>SUM(D301:D302)</f>
        <v>5488.2</v>
      </c>
      <c r="E300" s="255">
        <f>SUM(E301:E302)</f>
        <v>5488.2</v>
      </c>
      <c r="F300" s="255"/>
      <c r="G300" s="248">
        <f t="shared" si="57"/>
        <v>0</v>
      </c>
      <c r="H300" s="187"/>
      <c r="I300" s="187"/>
      <c r="J300" s="555">
        <f t="shared" si="55"/>
        <v>0</v>
      </c>
      <c r="K300" s="169"/>
    </row>
    <row r="301" spans="1:11" s="229" customFormat="1" ht="15.75" hidden="1">
      <c r="A301" s="528">
        <v>1</v>
      </c>
      <c r="B301" s="535" t="s">
        <v>468</v>
      </c>
      <c r="C301" s="237"/>
      <c r="D301" s="529">
        <f>E301</f>
        <v>2751.2</v>
      </c>
      <c r="E301" s="529">
        <v>2751.2</v>
      </c>
      <c r="F301" s="529"/>
      <c r="G301" s="529"/>
      <c r="H301" s="528"/>
      <c r="I301" s="528"/>
      <c r="J301" s="555">
        <f t="shared" si="55"/>
        <v>0</v>
      </c>
      <c r="K301" s="530"/>
    </row>
    <row r="302" spans="1:11" s="229" customFormat="1" ht="15.75" hidden="1">
      <c r="A302" s="528">
        <v>2</v>
      </c>
      <c r="B302" s="536" t="s">
        <v>469</v>
      </c>
      <c r="C302" s="531"/>
      <c r="D302" s="529">
        <f>E302</f>
        <v>2737</v>
      </c>
      <c r="E302" s="532">
        <v>2737</v>
      </c>
      <c r="F302" s="532"/>
      <c r="G302" s="532"/>
      <c r="H302" s="533"/>
      <c r="I302" s="533"/>
      <c r="J302" s="555">
        <f t="shared" si="55"/>
        <v>0</v>
      </c>
      <c r="K302" s="534"/>
    </row>
  </sheetData>
  <mergeCells count="22">
    <mergeCell ref="J1:K1"/>
    <mergeCell ref="A2:K2"/>
    <mergeCell ref="A4:A5"/>
    <mergeCell ref="B4:B5"/>
    <mergeCell ref="C4:C5"/>
    <mergeCell ref="J3:K3"/>
    <mergeCell ref="D4:F4"/>
    <mergeCell ref="K4:K5"/>
    <mergeCell ref="G4:I4"/>
    <mergeCell ref="J4:J5"/>
    <mergeCell ref="B8:C8"/>
    <mergeCell ref="B7:C7"/>
    <mergeCell ref="B34:C34"/>
    <mergeCell ref="B139:C139"/>
    <mergeCell ref="B237:C237"/>
    <mergeCell ref="C141:C142"/>
    <mergeCell ref="C28:C29"/>
    <mergeCell ref="C234:C235"/>
    <mergeCell ref="B140:C140"/>
    <mergeCell ref="B147:C147"/>
    <mergeCell ref="B189:C189"/>
    <mergeCell ref="B190:C190"/>
  </mergeCells>
  <pageMargins left="0.31496062992125984" right="0.31496062992125984" top="0.55118110236220474" bottom="0.35433070866141736"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RowHeight="12.75"/>
  <cols>
    <col min="1" max="1" width="9.33203125" style="25"/>
    <col min="2" max="2" width="45.6640625" style="25" customWidth="1"/>
    <col min="3" max="3" width="20" style="25" customWidth="1"/>
    <col min="4" max="4" width="19.33203125" style="25" customWidth="1"/>
    <col min="5" max="5" width="11.5" style="25" customWidth="1"/>
    <col min="6" max="8" width="18" style="25" customWidth="1"/>
    <col min="9" max="9" width="16.5" style="25" customWidth="1"/>
    <col min="10" max="16384" width="9.33203125" style="25"/>
  </cols>
  <sheetData>
    <row r="4" spans="1:9" ht="14.25">
      <c r="A4" s="696" t="s">
        <v>7</v>
      </c>
      <c r="B4" s="697"/>
      <c r="C4" s="274"/>
      <c r="D4" s="275"/>
      <c r="E4" s="275"/>
      <c r="F4" s="276">
        <f>F5+F48+F90</f>
        <v>129024.98800000001</v>
      </c>
      <c r="G4" s="276">
        <f>G5+G48+G90</f>
        <v>77012.660736000005</v>
      </c>
      <c r="H4" s="276">
        <f>H5+H48+H90</f>
        <v>52012.327264000014</v>
      </c>
      <c r="I4" s="324">
        <f>H4-52012.32</f>
        <v>7.2640000144019723E-3</v>
      </c>
    </row>
    <row r="5" spans="1:9" ht="42.75">
      <c r="A5" s="277" t="s">
        <v>3</v>
      </c>
      <c r="B5" s="278" t="s">
        <v>73</v>
      </c>
      <c r="C5" s="278"/>
      <c r="D5" s="278"/>
      <c r="E5" s="278"/>
      <c r="F5" s="279">
        <f>F6+F10+F13+F24+F35+F46</f>
        <v>47641.988000000005</v>
      </c>
      <c r="G5" s="279">
        <f>G6+G10+G13+G24+G35+G46</f>
        <v>27271.781936000003</v>
      </c>
      <c r="H5" s="279">
        <f>H6+H10+H13+H24+H35+H46</f>
        <v>20370.206064000002</v>
      </c>
    </row>
    <row r="6" spans="1:9" ht="14.25">
      <c r="A6" s="280">
        <v>1</v>
      </c>
      <c r="B6" s="275" t="s">
        <v>37</v>
      </c>
      <c r="C6" s="275"/>
      <c r="D6" s="275"/>
      <c r="E6" s="275"/>
      <c r="F6" s="276">
        <f>F7</f>
        <v>3906</v>
      </c>
      <c r="G6" s="276">
        <f t="shared" ref="G6:H6" si="0">G7</f>
        <v>3032.4970000000003</v>
      </c>
      <c r="H6" s="276">
        <f t="shared" si="0"/>
        <v>873.50299999999993</v>
      </c>
    </row>
    <row r="7" spans="1:9" ht="14.25">
      <c r="A7" s="281" t="s">
        <v>84</v>
      </c>
      <c r="B7" s="275" t="s">
        <v>85</v>
      </c>
      <c r="C7" s="275"/>
      <c r="D7" s="275"/>
      <c r="E7" s="275"/>
      <c r="F7" s="276">
        <f t="shared" ref="F7:G7" si="1">SUM(F8:F9)</f>
        <v>3906</v>
      </c>
      <c r="G7" s="276">
        <f t="shared" si="1"/>
        <v>3032.4970000000003</v>
      </c>
      <c r="H7" s="276">
        <f>SUM(H8:H9)</f>
        <v>873.50299999999993</v>
      </c>
      <c r="I7" s="324"/>
    </row>
    <row r="8" spans="1:9" ht="30">
      <c r="A8" s="282" t="s">
        <v>86</v>
      </c>
      <c r="B8" s="283" t="s">
        <v>87</v>
      </c>
      <c r="C8" s="618" t="s">
        <v>67</v>
      </c>
      <c r="D8" s="285" t="s">
        <v>44</v>
      </c>
      <c r="E8" s="286" t="s">
        <v>499</v>
      </c>
      <c r="F8" s="284">
        <v>2000</v>
      </c>
      <c r="G8" s="284">
        <v>1410.7380000000001</v>
      </c>
      <c r="H8" s="284">
        <f>F8-G8</f>
        <v>589.26199999999994</v>
      </c>
    </row>
    <row r="9" spans="1:9" ht="30">
      <c r="A9" s="282" t="s">
        <v>88</v>
      </c>
      <c r="B9" s="287" t="s">
        <v>89</v>
      </c>
      <c r="C9" s="619"/>
      <c r="D9" s="285" t="s">
        <v>46</v>
      </c>
      <c r="E9" s="286" t="s">
        <v>500</v>
      </c>
      <c r="F9" s="284">
        <v>1906</v>
      </c>
      <c r="G9" s="284">
        <v>1621.759</v>
      </c>
      <c r="H9" s="284">
        <f>F9-G9</f>
        <v>284.24099999999999</v>
      </c>
    </row>
    <row r="10" spans="1:9" ht="14.25">
      <c r="A10" s="281">
        <v>2</v>
      </c>
      <c r="B10" s="288" t="s">
        <v>501</v>
      </c>
      <c r="C10" s="275"/>
      <c r="D10" s="275"/>
      <c r="E10" s="275"/>
      <c r="F10" s="276">
        <f>SUM(F11:F12)</f>
        <v>10167</v>
      </c>
      <c r="G10" s="276">
        <f>SUM(G11:G12)</f>
        <v>3925.3040000000001</v>
      </c>
      <c r="H10" s="276">
        <f>SUM(H11:H12)</f>
        <v>6241.6959999999999</v>
      </c>
    </row>
    <row r="11" spans="1:9" ht="45">
      <c r="A11" s="282" t="s">
        <v>92</v>
      </c>
      <c r="B11" s="287" t="s">
        <v>93</v>
      </c>
      <c r="C11" s="323" t="s">
        <v>67</v>
      </c>
      <c r="D11" s="285" t="s">
        <v>63</v>
      </c>
      <c r="E11" s="286" t="s">
        <v>503</v>
      </c>
      <c r="F11" s="284">
        <v>6567</v>
      </c>
      <c r="G11" s="284">
        <v>888.89599999999996</v>
      </c>
      <c r="H11" s="284">
        <f>F11-G11</f>
        <v>5678.1040000000003</v>
      </c>
    </row>
    <row r="12" spans="1:9" ht="45">
      <c r="A12" s="290" t="s">
        <v>95</v>
      </c>
      <c r="B12" s="283" t="s">
        <v>96</v>
      </c>
      <c r="C12" s="323" t="s">
        <v>67</v>
      </c>
      <c r="D12" s="290" t="s">
        <v>77</v>
      </c>
      <c r="E12" s="286" t="s">
        <v>504</v>
      </c>
      <c r="F12" s="284">
        <v>3600</v>
      </c>
      <c r="G12" s="284">
        <v>3036.4079999999999</v>
      </c>
      <c r="H12" s="284">
        <f>F12-G12</f>
        <v>563.5920000000001</v>
      </c>
    </row>
    <row r="13" spans="1:9" ht="14.25">
      <c r="A13" s="281">
        <v>3</v>
      </c>
      <c r="B13" s="291" t="s">
        <v>33</v>
      </c>
      <c r="C13" s="291"/>
      <c r="D13" s="275"/>
      <c r="E13" s="275"/>
      <c r="F13" s="276">
        <f>SUM(F14:F23)</f>
        <v>22885.960000000003</v>
      </c>
      <c r="G13" s="276">
        <f>SUM(G14:G23)</f>
        <v>14498.561884000002</v>
      </c>
      <c r="H13" s="276">
        <f>SUM(H14:H23)</f>
        <v>8387.3981160000003</v>
      </c>
    </row>
    <row r="14" spans="1:9" ht="30">
      <c r="A14" s="290" t="s">
        <v>97</v>
      </c>
      <c r="B14" s="283" t="s">
        <v>505</v>
      </c>
      <c r="C14" s="283" t="s">
        <v>42</v>
      </c>
      <c r="D14" s="290" t="s">
        <v>42</v>
      </c>
      <c r="E14" s="282" t="s">
        <v>506</v>
      </c>
      <c r="F14" s="284">
        <v>2215.4</v>
      </c>
      <c r="G14" s="284">
        <v>1268.0654999999999</v>
      </c>
      <c r="H14" s="284">
        <f t="shared" ref="H14:H23" si="2">F14-G14</f>
        <v>947.33450000000016</v>
      </c>
    </row>
    <row r="15" spans="1:9" ht="30">
      <c r="A15" s="290" t="s">
        <v>98</v>
      </c>
      <c r="B15" s="283" t="s">
        <v>507</v>
      </c>
      <c r="C15" s="283" t="s">
        <v>63</v>
      </c>
      <c r="D15" s="290" t="s">
        <v>63</v>
      </c>
      <c r="E15" s="282" t="s">
        <v>508</v>
      </c>
      <c r="F15" s="284">
        <v>2190</v>
      </c>
      <c r="G15" s="292">
        <f>990+243.931</f>
        <v>1233.931</v>
      </c>
      <c r="H15" s="284">
        <f t="shared" si="2"/>
        <v>956.06899999999996</v>
      </c>
    </row>
    <row r="16" spans="1:9" ht="30">
      <c r="A16" s="290" t="s">
        <v>509</v>
      </c>
      <c r="B16" s="283" t="s">
        <v>510</v>
      </c>
      <c r="C16" s="287" t="s">
        <v>44</v>
      </c>
      <c r="D16" s="290" t="s">
        <v>44</v>
      </c>
      <c r="E16" s="282" t="s">
        <v>511</v>
      </c>
      <c r="F16" s="284">
        <v>2289.0500000000002</v>
      </c>
      <c r="G16" s="293">
        <v>1226.1110000000001</v>
      </c>
      <c r="H16" s="284">
        <f t="shared" si="2"/>
        <v>1062.9390000000001</v>
      </c>
    </row>
    <row r="17" spans="1:8" ht="30">
      <c r="A17" s="290" t="s">
        <v>512</v>
      </c>
      <c r="B17" s="283" t="s">
        <v>513</v>
      </c>
      <c r="C17" s="287" t="s">
        <v>52</v>
      </c>
      <c r="D17" s="290" t="s">
        <v>52</v>
      </c>
      <c r="E17" s="282" t="s">
        <v>514</v>
      </c>
      <c r="F17" s="284">
        <v>2286.12</v>
      </c>
      <c r="G17" s="289">
        <f>235.915+989.544798</f>
        <v>1225.4597980000001</v>
      </c>
      <c r="H17" s="284">
        <f t="shared" si="2"/>
        <v>1060.6602019999998</v>
      </c>
    </row>
    <row r="18" spans="1:8" ht="30">
      <c r="A18" s="290" t="s">
        <v>515</v>
      </c>
      <c r="B18" s="283" t="s">
        <v>516</v>
      </c>
      <c r="C18" s="287" t="s">
        <v>51</v>
      </c>
      <c r="D18" s="290" t="s">
        <v>51</v>
      </c>
      <c r="E18" s="282" t="s">
        <v>517</v>
      </c>
      <c r="F18" s="284">
        <v>2400.64</v>
      </c>
      <c r="G18" s="284">
        <v>2349.446817</v>
      </c>
      <c r="H18" s="284">
        <f t="shared" si="2"/>
        <v>51.193182999999863</v>
      </c>
    </row>
    <row r="19" spans="1:8" ht="30">
      <c r="A19" s="290" t="s">
        <v>518</v>
      </c>
      <c r="B19" s="283" t="s">
        <v>519</v>
      </c>
      <c r="C19" s="287" t="s">
        <v>46</v>
      </c>
      <c r="D19" s="290" t="s">
        <v>46</v>
      </c>
      <c r="E19" s="282" t="s">
        <v>520</v>
      </c>
      <c r="F19" s="284">
        <v>2448.7600000000002</v>
      </c>
      <c r="G19" s="284">
        <f>2294.972289+41.2092</f>
        <v>2336.1814889999996</v>
      </c>
      <c r="H19" s="284">
        <f t="shared" si="2"/>
        <v>112.57851100000062</v>
      </c>
    </row>
    <row r="20" spans="1:8" ht="30">
      <c r="A20" s="290" t="s">
        <v>521</v>
      </c>
      <c r="B20" s="283" t="s">
        <v>522</v>
      </c>
      <c r="C20" s="287" t="s">
        <v>64</v>
      </c>
      <c r="D20" s="290" t="s">
        <v>64</v>
      </c>
      <c r="E20" s="282" t="s">
        <v>523</v>
      </c>
      <c r="F20" s="284">
        <v>2272.61</v>
      </c>
      <c r="G20" s="289">
        <f>242.691+988.058</f>
        <v>1230.749</v>
      </c>
      <c r="H20" s="284">
        <f t="shared" si="2"/>
        <v>1041.8610000000001</v>
      </c>
    </row>
    <row r="21" spans="1:8" ht="30">
      <c r="A21" s="290" t="s">
        <v>524</v>
      </c>
      <c r="B21" s="283" t="s">
        <v>525</v>
      </c>
      <c r="C21" s="287" t="s">
        <v>62</v>
      </c>
      <c r="D21" s="290" t="s">
        <v>62</v>
      </c>
      <c r="E21" s="282" t="s">
        <v>526</v>
      </c>
      <c r="F21" s="284">
        <v>2202.5100000000002</v>
      </c>
      <c r="G21" s="284">
        <f>236.438+982.476</f>
        <v>1218.914</v>
      </c>
      <c r="H21" s="284">
        <f t="shared" si="2"/>
        <v>983.59600000000023</v>
      </c>
    </row>
    <row r="22" spans="1:8" ht="30">
      <c r="A22" s="290" t="s">
        <v>527</v>
      </c>
      <c r="B22" s="283" t="s">
        <v>528</v>
      </c>
      <c r="C22" s="287" t="s">
        <v>65</v>
      </c>
      <c r="D22" s="290" t="s">
        <v>65</v>
      </c>
      <c r="E22" s="282" t="s">
        <v>529</v>
      </c>
      <c r="F22" s="284">
        <v>2299.81</v>
      </c>
      <c r="G22" s="289">
        <v>1174.91544</v>
      </c>
      <c r="H22" s="284">
        <f t="shared" si="2"/>
        <v>1124.89456</v>
      </c>
    </row>
    <row r="23" spans="1:8" ht="30">
      <c r="A23" s="290" t="s">
        <v>530</v>
      </c>
      <c r="B23" s="283" t="s">
        <v>531</v>
      </c>
      <c r="C23" s="287" t="s">
        <v>66</v>
      </c>
      <c r="D23" s="290" t="s">
        <v>66</v>
      </c>
      <c r="E23" s="282" t="s">
        <v>532</v>
      </c>
      <c r="F23" s="284">
        <v>2281.06</v>
      </c>
      <c r="G23" s="284">
        <f>244.78784+990</f>
        <v>1234.78784</v>
      </c>
      <c r="H23" s="284">
        <f t="shared" si="2"/>
        <v>1046.27216</v>
      </c>
    </row>
    <row r="24" spans="1:8" ht="14.25">
      <c r="A24" s="281">
        <v>4</v>
      </c>
      <c r="B24" s="294" t="s">
        <v>533</v>
      </c>
      <c r="C24" s="295"/>
      <c r="D24" s="295"/>
      <c r="E24" s="296"/>
      <c r="F24" s="276">
        <f>SUM(F25:F34)</f>
        <v>8677</v>
      </c>
      <c r="G24" s="276">
        <f>SUM(G25:G34)</f>
        <v>5258.7709999999997</v>
      </c>
      <c r="H24" s="276">
        <f>SUM(H25:H34)</f>
        <v>3418.2290000000003</v>
      </c>
    </row>
    <row r="25" spans="1:8" ht="15">
      <c r="A25" s="282" t="s">
        <v>534</v>
      </c>
      <c r="B25" s="299" t="s">
        <v>535</v>
      </c>
      <c r="C25" s="618" t="s">
        <v>67</v>
      </c>
      <c r="D25" s="285" t="s">
        <v>23</v>
      </c>
      <c r="E25" s="300" t="s">
        <v>536</v>
      </c>
      <c r="F25" s="284">
        <v>223</v>
      </c>
      <c r="G25" s="284">
        <v>82.441000000000003</v>
      </c>
      <c r="H25" s="284">
        <f t="shared" ref="H25:H34" si="3">F25-G25</f>
        <v>140.559</v>
      </c>
    </row>
    <row r="26" spans="1:8" ht="30">
      <c r="A26" s="282" t="s">
        <v>537</v>
      </c>
      <c r="B26" s="299" t="s">
        <v>538</v>
      </c>
      <c r="C26" s="619"/>
      <c r="D26" s="285" t="s">
        <v>22</v>
      </c>
      <c r="E26" s="300" t="s">
        <v>539</v>
      </c>
      <c r="F26" s="284">
        <v>670</v>
      </c>
      <c r="G26" s="284">
        <v>395.43200000000002</v>
      </c>
      <c r="H26" s="284">
        <f t="shared" si="3"/>
        <v>274.56799999999998</v>
      </c>
    </row>
    <row r="27" spans="1:8" ht="15">
      <c r="A27" s="282" t="s">
        <v>540</v>
      </c>
      <c r="B27" s="299" t="s">
        <v>541</v>
      </c>
      <c r="C27" s="620"/>
      <c r="D27" s="285" t="s">
        <v>101</v>
      </c>
      <c r="E27" s="300" t="s">
        <v>542</v>
      </c>
      <c r="F27" s="284">
        <v>447</v>
      </c>
      <c r="G27" s="284">
        <v>160.779</v>
      </c>
      <c r="H27" s="284">
        <f t="shared" si="3"/>
        <v>286.221</v>
      </c>
    </row>
    <row r="28" spans="1:8" ht="15">
      <c r="A28" s="282" t="s">
        <v>543</v>
      </c>
      <c r="B28" s="299" t="s">
        <v>544</v>
      </c>
      <c r="C28" s="618" t="s">
        <v>67</v>
      </c>
      <c r="D28" s="285" t="s">
        <v>19</v>
      </c>
      <c r="E28" s="300" t="s">
        <v>545</v>
      </c>
      <c r="F28" s="284">
        <v>1391.5</v>
      </c>
      <c r="G28" s="284">
        <v>1326.675</v>
      </c>
      <c r="H28" s="284">
        <f t="shared" si="3"/>
        <v>64.825000000000045</v>
      </c>
    </row>
    <row r="29" spans="1:8" ht="15">
      <c r="A29" s="282" t="s">
        <v>546</v>
      </c>
      <c r="B29" s="299" t="s">
        <v>547</v>
      </c>
      <c r="C29" s="619"/>
      <c r="D29" s="285" t="s">
        <v>22</v>
      </c>
      <c r="E29" s="300" t="s">
        <v>548</v>
      </c>
      <c r="F29" s="284">
        <v>696</v>
      </c>
      <c r="G29" s="284">
        <v>248.34700000000001</v>
      </c>
      <c r="H29" s="284">
        <f t="shared" si="3"/>
        <v>447.65300000000002</v>
      </c>
    </row>
    <row r="30" spans="1:8" ht="15">
      <c r="A30" s="282" t="s">
        <v>549</v>
      </c>
      <c r="B30" s="299" t="s">
        <v>550</v>
      </c>
      <c r="C30" s="619"/>
      <c r="D30" s="285" t="s">
        <v>100</v>
      </c>
      <c r="E30" s="300" t="s">
        <v>551</v>
      </c>
      <c r="F30" s="284">
        <v>695.5</v>
      </c>
      <c r="G30" s="284">
        <v>247.99700000000001</v>
      </c>
      <c r="H30" s="284">
        <f t="shared" si="3"/>
        <v>447.50299999999999</v>
      </c>
    </row>
    <row r="31" spans="1:8" ht="15">
      <c r="A31" s="282" t="s">
        <v>552</v>
      </c>
      <c r="B31" s="299" t="s">
        <v>553</v>
      </c>
      <c r="C31" s="620"/>
      <c r="D31" s="285" t="s">
        <v>23</v>
      </c>
      <c r="E31" s="300" t="s">
        <v>554</v>
      </c>
      <c r="F31" s="284">
        <v>696</v>
      </c>
      <c r="G31" s="284">
        <v>689.322</v>
      </c>
      <c r="H31" s="284">
        <f t="shared" si="3"/>
        <v>6.6779999999999973</v>
      </c>
    </row>
    <row r="32" spans="1:8" ht="15">
      <c r="A32" s="282" t="s">
        <v>555</v>
      </c>
      <c r="B32" s="287" t="s">
        <v>541</v>
      </c>
      <c r="C32" s="695" t="s">
        <v>67</v>
      </c>
      <c r="D32" s="290" t="s">
        <v>101</v>
      </c>
      <c r="E32" s="282" t="s">
        <v>556</v>
      </c>
      <c r="F32" s="284">
        <v>695.5</v>
      </c>
      <c r="G32" s="284">
        <v>247.90100000000001</v>
      </c>
      <c r="H32" s="284">
        <f t="shared" si="3"/>
        <v>447.59899999999999</v>
      </c>
    </row>
    <row r="33" spans="1:8" ht="15">
      <c r="A33" s="282" t="s">
        <v>557</v>
      </c>
      <c r="B33" s="287" t="s">
        <v>558</v>
      </c>
      <c r="C33" s="695"/>
      <c r="D33" s="290" t="s">
        <v>21</v>
      </c>
      <c r="E33" s="282" t="s">
        <v>559</v>
      </c>
      <c r="F33" s="284">
        <v>695.5</v>
      </c>
      <c r="G33" s="284">
        <v>248.03100000000001</v>
      </c>
      <c r="H33" s="284">
        <f t="shared" si="3"/>
        <v>447.46899999999999</v>
      </c>
    </row>
    <row r="34" spans="1:8" ht="45">
      <c r="A34" s="282" t="s">
        <v>560</v>
      </c>
      <c r="B34" s="287" t="s">
        <v>561</v>
      </c>
      <c r="C34" s="302" t="s">
        <v>67</v>
      </c>
      <c r="D34" s="290" t="s">
        <v>19</v>
      </c>
      <c r="E34" s="282" t="s">
        <v>562</v>
      </c>
      <c r="F34" s="284">
        <v>2467</v>
      </c>
      <c r="G34" s="284">
        <v>1611.846</v>
      </c>
      <c r="H34" s="284">
        <f t="shared" si="3"/>
        <v>855.154</v>
      </c>
    </row>
    <row r="35" spans="1:8" ht="14.25">
      <c r="A35" s="281">
        <v>5</v>
      </c>
      <c r="B35" s="291" t="s">
        <v>38</v>
      </c>
      <c r="C35" s="291"/>
      <c r="D35" s="275"/>
      <c r="E35" s="275"/>
      <c r="F35" s="276">
        <f>F36</f>
        <v>1315.0280000000002</v>
      </c>
      <c r="G35" s="276">
        <f t="shared" ref="G35" si="4">G36</f>
        <v>0</v>
      </c>
      <c r="H35" s="276">
        <f>H36</f>
        <v>1315.0280000000002</v>
      </c>
    </row>
    <row r="36" spans="1:8" ht="28.5">
      <c r="A36" s="281" t="s">
        <v>105</v>
      </c>
      <c r="B36" s="291" t="s">
        <v>107</v>
      </c>
      <c r="C36" s="291"/>
      <c r="D36" s="275"/>
      <c r="E36" s="275"/>
      <c r="F36" s="276">
        <f>SUM(F37:F45)</f>
        <v>1315.0280000000002</v>
      </c>
      <c r="G36" s="276">
        <f t="shared" ref="G36:H36" si="5">SUM(G37:G45)</f>
        <v>0</v>
      </c>
      <c r="H36" s="276">
        <f t="shared" si="5"/>
        <v>1315.0280000000002</v>
      </c>
    </row>
    <row r="37" spans="1:8" ht="15">
      <c r="A37" s="282" t="s">
        <v>563</v>
      </c>
      <c r="B37" s="287" t="s">
        <v>564</v>
      </c>
      <c r="C37" s="694" t="s">
        <v>565</v>
      </c>
      <c r="D37" s="290" t="s">
        <v>24</v>
      </c>
      <c r="E37" s="303" t="s">
        <v>566</v>
      </c>
      <c r="F37" s="284">
        <v>161.892</v>
      </c>
      <c r="G37" s="289" t="s">
        <v>502</v>
      </c>
      <c r="H37" s="284">
        <f t="shared" ref="H37:H45" si="6">F37-G37</f>
        <v>161.892</v>
      </c>
    </row>
    <row r="38" spans="1:8" ht="15">
      <c r="A38" s="282" t="s">
        <v>567</v>
      </c>
      <c r="B38" s="287" t="s">
        <v>568</v>
      </c>
      <c r="C38" s="695"/>
      <c r="D38" s="290" t="s">
        <v>21</v>
      </c>
      <c r="E38" s="303" t="s">
        <v>569</v>
      </c>
      <c r="F38" s="284">
        <v>161.892</v>
      </c>
      <c r="G38" s="289" t="s">
        <v>502</v>
      </c>
      <c r="H38" s="284">
        <f t="shared" si="6"/>
        <v>161.892</v>
      </c>
    </row>
    <row r="39" spans="1:8" ht="15">
      <c r="A39" s="282" t="s">
        <v>570</v>
      </c>
      <c r="B39" s="287" t="s">
        <v>571</v>
      </c>
      <c r="C39" s="695"/>
      <c r="D39" s="290" t="s">
        <v>21</v>
      </c>
      <c r="E39" s="303" t="s">
        <v>572</v>
      </c>
      <c r="F39" s="284">
        <v>161.892</v>
      </c>
      <c r="G39" s="289" t="s">
        <v>502</v>
      </c>
      <c r="H39" s="284">
        <f t="shared" si="6"/>
        <v>161.892</v>
      </c>
    </row>
    <row r="40" spans="1:8" ht="15">
      <c r="A40" s="282" t="s">
        <v>573</v>
      </c>
      <c r="B40" s="287" t="s">
        <v>574</v>
      </c>
      <c r="C40" s="695"/>
      <c r="D40" s="290" t="s">
        <v>20</v>
      </c>
      <c r="E40" s="303" t="s">
        <v>575</v>
      </c>
      <c r="F40" s="284">
        <v>161.892</v>
      </c>
      <c r="G40" s="289" t="s">
        <v>502</v>
      </c>
      <c r="H40" s="284">
        <f t="shared" si="6"/>
        <v>161.892</v>
      </c>
    </row>
    <row r="41" spans="1:8" ht="15">
      <c r="A41" s="282" t="s">
        <v>576</v>
      </c>
      <c r="B41" s="287" t="s">
        <v>577</v>
      </c>
      <c r="C41" s="695"/>
      <c r="D41" s="290" t="s">
        <v>22</v>
      </c>
      <c r="E41" s="303" t="s">
        <v>578</v>
      </c>
      <c r="F41" s="284">
        <v>161.892</v>
      </c>
      <c r="G41" s="289" t="s">
        <v>502</v>
      </c>
      <c r="H41" s="284">
        <f t="shared" si="6"/>
        <v>161.892</v>
      </c>
    </row>
    <row r="42" spans="1:8" ht="15">
      <c r="A42" s="282" t="s">
        <v>579</v>
      </c>
      <c r="B42" s="287" t="s">
        <v>580</v>
      </c>
      <c r="C42" s="695"/>
      <c r="D42" s="290" t="s">
        <v>18</v>
      </c>
      <c r="E42" s="303" t="s">
        <v>581</v>
      </c>
      <c r="F42" s="284">
        <v>161.892</v>
      </c>
      <c r="G42" s="289" t="s">
        <v>502</v>
      </c>
      <c r="H42" s="284">
        <f t="shared" si="6"/>
        <v>161.892</v>
      </c>
    </row>
    <row r="43" spans="1:8" ht="15">
      <c r="A43" s="282" t="s">
        <v>582</v>
      </c>
      <c r="B43" s="287" t="s">
        <v>583</v>
      </c>
      <c r="C43" s="695"/>
      <c r="D43" s="290" t="s">
        <v>101</v>
      </c>
      <c r="E43" s="282" t="s">
        <v>584</v>
      </c>
      <c r="F43" s="284">
        <v>161.892</v>
      </c>
      <c r="G43" s="289" t="s">
        <v>502</v>
      </c>
      <c r="H43" s="284">
        <f t="shared" si="6"/>
        <v>161.892</v>
      </c>
    </row>
    <row r="44" spans="1:8" ht="15">
      <c r="A44" s="282" t="s">
        <v>585</v>
      </c>
      <c r="B44" s="287" t="s">
        <v>586</v>
      </c>
      <c r="C44" s="695"/>
      <c r="D44" s="290" t="s">
        <v>101</v>
      </c>
      <c r="E44" s="282" t="s">
        <v>587</v>
      </c>
      <c r="F44" s="284">
        <v>90.891999999999996</v>
      </c>
      <c r="G44" s="284"/>
      <c r="H44" s="284">
        <f t="shared" si="6"/>
        <v>90.891999999999996</v>
      </c>
    </row>
    <row r="45" spans="1:8" ht="15">
      <c r="A45" s="282" t="s">
        <v>588</v>
      </c>
      <c r="B45" s="287" t="s">
        <v>589</v>
      </c>
      <c r="C45" s="695"/>
      <c r="D45" s="290" t="s">
        <v>17</v>
      </c>
      <c r="E45" s="282" t="s">
        <v>590</v>
      </c>
      <c r="F45" s="284">
        <v>90.891999999999996</v>
      </c>
      <c r="G45" s="284"/>
      <c r="H45" s="284">
        <f t="shared" si="6"/>
        <v>90.891999999999996</v>
      </c>
    </row>
    <row r="46" spans="1:8" ht="14.25">
      <c r="A46" s="281">
        <v>6</v>
      </c>
      <c r="B46" s="291" t="s">
        <v>39</v>
      </c>
      <c r="C46" s="291"/>
      <c r="D46" s="275"/>
      <c r="E46" s="275"/>
      <c r="F46" s="276">
        <f>F47</f>
        <v>691</v>
      </c>
      <c r="G46" s="276">
        <f t="shared" ref="G46:H46" si="7">G47</f>
        <v>556.64805200000001</v>
      </c>
      <c r="H46" s="276">
        <f t="shared" si="7"/>
        <v>134.35194799999999</v>
      </c>
    </row>
    <row r="47" spans="1:8" ht="45">
      <c r="A47" s="282" t="s">
        <v>29</v>
      </c>
      <c r="B47" s="287" t="s">
        <v>108</v>
      </c>
      <c r="C47" s="282" t="s">
        <v>565</v>
      </c>
      <c r="D47" s="290" t="s">
        <v>109</v>
      </c>
      <c r="E47" s="303" t="s">
        <v>591</v>
      </c>
      <c r="F47" s="284">
        <v>691</v>
      </c>
      <c r="G47" s="289">
        <f>556.648052</f>
        <v>556.64805200000001</v>
      </c>
      <c r="H47" s="284">
        <f>F47-G47</f>
        <v>134.35194799999999</v>
      </c>
    </row>
    <row r="48" spans="1:8" ht="28.5">
      <c r="A48" s="335" t="s">
        <v>592</v>
      </c>
      <c r="B48" s="336" t="s">
        <v>30</v>
      </c>
      <c r="C48" s="336"/>
      <c r="D48" s="336"/>
      <c r="E48" s="336"/>
      <c r="F48" s="337">
        <f t="shared" ref="F48:H49" si="8">F49</f>
        <v>65249</v>
      </c>
      <c r="G48" s="337">
        <f t="shared" si="8"/>
        <v>42327.4473</v>
      </c>
      <c r="H48" s="337">
        <f t="shared" si="8"/>
        <v>22921.552700000007</v>
      </c>
    </row>
    <row r="49" spans="1:8" ht="14.25">
      <c r="A49" s="280">
        <v>1</v>
      </c>
      <c r="B49" s="275" t="s">
        <v>37</v>
      </c>
      <c r="C49" s="275"/>
      <c r="D49" s="275"/>
      <c r="E49" s="275"/>
      <c r="F49" s="276">
        <f t="shared" si="8"/>
        <v>65249</v>
      </c>
      <c r="G49" s="276">
        <f>G50</f>
        <v>42327.4473</v>
      </c>
      <c r="H49" s="276">
        <f>H50</f>
        <v>22921.552700000007</v>
      </c>
    </row>
    <row r="50" spans="1:8" ht="14.25">
      <c r="A50" s="280" t="s">
        <v>74</v>
      </c>
      <c r="B50" s="275" t="s">
        <v>488</v>
      </c>
      <c r="C50" s="275"/>
      <c r="D50" s="275"/>
      <c r="E50" s="275"/>
      <c r="F50" s="276">
        <f>SUM(F51:F89)</f>
        <v>65249</v>
      </c>
      <c r="G50" s="276">
        <f>SUM(G51:G89)</f>
        <v>42327.4473</v>
      </c>
      <c r="H50" s="276">
        <f>SUM(H51:H89)</f>
        <v>22921.552700000007</v>
      </c>
    </row>
    <row r="51" spans="1:8" ht="30">
      <c r="A51" s="304" t="s">
        <v>36</v>
      </c>
      <c r="B51" s="305" t="s">
        <v>593</v>
      </c>
      <c r="C51" s="621" t="s">
        <v>67</v>
      </c>
      <c r="D51" s="306" t="s">
        <v>62</v>
      </c>
      <c r="E51" s="303" t="s">
        <v>594</v>
      </c>
      <c r="F51" s="284">
        <v>3524</v>
      </c>
      <c r="G51" s="284">
        <v>2305.6999999999998</v>
      </c>
      <c r="H51" s="284">
        <f t="shared" ref="H51:H89" si="9">F51-G51</f>
        <v>1218.3000000000002</v>
      </c>
    </row>
    <row r="52" spans="1:8" ht="30">
      <c r="A52" s="304" t="s">
        <v>57</v>
      </c>
      <c r="B52" s="307" t="s">
        <v>595</v>
      </c>
      <c r="C52" s="630"/>
      <c r="D52" s="308" t="s">
        <v>65</v>
      </c>
      <c r="E52" s="303" t="s">
        <v>596</v>
      </c>
      <c r="F52" s="284">
        <v>4691</v>
      </c>
      <c r="G52" s="284">
        <v>2713.9380000000001</v>
      </c>
      <c r="H52" s="284">
        <f t="shared" si="9"/>
        <v>1977.0619999999999</v>
      </c>
    </row>
    <row r="53" spans="1:8" ht="30">
      <c r="A53" s="304" t="s">
        <v>58</v>
      </c>
      <c r="B53" s="307" t="s">
        <v>597</v>
      </c>
      <c r="C53" s="630"/>
      <c r="D53" s="308" t="s">
        <v>65</v>
      </c>
      <c r="E53" s="303" t="s">
        <v>598</v>
      </c>
      <c r="F53" s="284">
        <v>1319</v>
      </c>
      <c r="G53" s="284">
        <v>153.76499999999999</v>
      </c>
      <c r="H53" s="284">
        <f t="shared" si="9"/>
        <v>1165.2350000000001</v>
      </c>
    </row>
    <row r="54" spans="1:8" ht="30">
      <c r="A54" s="304" t="s">
        <v>59</v>
      </c>
      <c r="B54" s="307" t="s">
        <v>53</v>
      </c>
      <c r="C54" s="630"/>
      <c r="D54" s="308" t="s">
        <v>66</v>
      </c>
      <c r="E54" s="303" t="s">
        <v>599</v>
      </c>
      <c r="F54" s="284">
        <v>3500</v>
      </c>
      <c r="G54" s="284">
        <v>1339.165</v>
      </c>
      <c r="H54" s="284">
        <f t="shared" si="9"/>
        <v>2160.835</v>
      </c>
    </row>
    <row r="55" spans="1:8" ht="30">
      <c r="A55" s="304" t="s">
        <v>60</v>
      </c>
      <c r="B55" s="307" t="s">
        <v>600</v>
      </c>
      <c r="C55" s="630"/>
      <c r="D55" s="308" t="s">
        <v>66</v>
      </c>
      <c r="E55" s="303" t="s">
        <v>601</v>
      </c>
      <c r="F55" s="284">
        <v>1700</v>
      </c>
      <c r="G55" s="284">
        <v>1644.2940000000001</v>
      </c>
      <c r="H55" s="284">
        <f t="shared" si="9"/>
        <v>55.705999999999904</v>
      </c>
    </row>
    <row r="56" spans="1:8" ht="45">
      <c r="A56" s="304" t="s">
        <v>110</v>
      </c>
      <c r="B56" s="307" t="s">
        <v>55</v>
      </c>
      <c r="C56" s="630"/>
      <c r="D56" s="308" t="s">
        <v>42</v>
      </c>
      <c r="E56" s="303" t="s">
        <v>602</v>
      </c>
      <c r="F56" s="284">
        <v>6354</v>
      </c>
      <c r="G56" s="284">
        <v>2204.59</v>
      </c>
      <c r="H56" s="284">
        <f t="shared" si="9"/>
        <v>4149.41</v>
      </c>
    </row>
    <row r="57" spans="1:8" ht="15">
      <c r="A57" s="304" t="s">
        <v>111</v>
      </c>
      <c r="B57" s="307" t="s">
        <v>56</v>
      </c>
      <c r="C57" s="630"/>
      <c r="D57" s="308" t="s">
        <v>45</v>
      </c>
      <c r="E57" s="303" t="s">
        <v>603</v>
      </c>
      <c r="F57" s="284">
        <v>1100</v>
      </c>
      <c r="G57" s="284">
        <v>663.55700000000002</v>
      </c>
      <c r="H57" s="284">
        <f t="shared" si="9"/>
        <v>436.44299999999998</v>
      </c>
    </row>
    <row r="58" spans="1:8" ht="45">
      <c r="A58" s="304" t="s">
        <v>112</v>
      </c>
      <c r="B58" s="307" t="s">
        <v>604</v>
      </c>
      <c r="C58" s="630"/>
      <c r="D58" s="308" t="s">
        <v>45</v>
      </c>
      <c r="E58" s="303" t="s">
        <v>605</v>
      </c>
      <c r="F58" s="284">
        <v>3500</v>
      </c>
      <c r="G58" s="284">
        <v>3454.1750000000002</v>
      </c>
      <c r="H58" s="284">
        <f t="shared" si="9"/>
        <v>45.824999999999818</v>
      </c>
    </row>
    <row r="59" spans="1:8" ht="30">
      <c r="A59" s="304" t="s">
        <v>113</v>
      </c>
      <c r="B59" s="309" t="s">
        <v>606</v>
      </c>
      <c r="C59" s="630"/>
      <c r="D59" s="306" t="s">
        <v>44</v>
      </c>
      <c r="E59" s="303" t="s">
        <v>607</v>
      </c>
      <c r="F59" s="284">
        <v>2200</v>
      </c>
      <c r="G59" s="284">
        <v>1818.818</v>
      </c>
      <c r="H59" s="284">
        <f t="shared" si="9"/>
        <v>381.18200000000002</v>
      </c>
    </row>
    <row r="60" spans="1:8" ht="15">
      <c r="A60" s="304" t="s">
        <v>114</v>
      </c>
      <c r="B60" s="307" t="s">
        <v>608</v>
      </c>
      <c r="C60" s="630"/>
      <c r="D60" s="308" t="s">
        <v>609</v>
      </c>
      <c r="E60" s="303" t="s">
        <v>610</v>
      </c>
      <c r="F60" s="284">
        <v>3476</v>
      </c>
      <c r="G60" s="284">
        <v>2731.6979999999999</v>
      </c>
      <c r="H60" s="284">
        <f t="shared" si="9"/>
        <v>744.30200000000013</v>
      </c>
    </row>
    <row r="61" spans="1:8" ht="15">
      <c r="A61" s="304" t="s">
        <v>115</v>
      </c>
      <c r="B61" s="307" t="s">
        <v>611</v>
      </c>
      <c r="C61" s="630"/>
      <c r="D61" s="306" t="s">
        <v>51</v>
      </c>
      <c r="E61" s="303" t="s">
        <v>612</v>
      </c>
      <c r="F61" s="284">
        <v>2128</v>
      </c>
      <c r="G61" s="284">
        <v>1576.547</v>
      </c>
      <c r="H61" s="284">
        <f t="shared" si="9"/>
        <v>551.45299999999997</v>
      </c>
    </row>
    <row r="62" spans="1:8" ht="15">
      <c r="A62" s="304" t="s">
        <v>116</v>
      </c>
      <c r="B62" s="307" t="s">
        <v>613</v>
      </c>
      <c r="C62" s="630"/>
      <c r="D62" s="308" t="s">
        <v>63</v>
      </c>
      <c r="E62" s="303" t="s">
        <v>614</v>
      </c>
      <c r="F62" s="284">
        <v>4709</v>
      </c>
      <c r="G62" s="284">
        <v>4676.5878000000002</v>
      </c>
      <c r="H62" s="284">
        <f t="shared" si="9"/>
        <v>32.412199999999757</v>
      </c>
    </row>
    <row r="63" spans="1:8" ht="30">
      <c r="A63" s="304" t="s">
        <v>117</v>
      </c>
      <c r="B63" s="310" t="s">
        <v>118</v>
      </c>
      <c r="C63" s="630"/>
      <c r="D63" s="306" t="s">
        <v>63</v>
      </c>
      <c r="E63" s="303" t="s">
        <v>615</v>
      </c>
      <c r="F63" s="284">
        <v>1460</v>
      </c>
      <c r="G63" s="284">
        <v>277.42099999999999</v>
      </c>
      <c r="H63" s="284">
        <f t="shared" si="9"/>
        <v>1182.579</v>
      </c>
    </row>
    <row r="64" spans="1:8" ht="30">
      <c r="A64" s="304" t="s">
        <v>119</v>
      </c>
      <c r="B64" s="305" t="s">
        <v>54</v>
      </c>
      <c r="C64" s="630"/>
      <c r="D64" s="306" t="s">
        <v>63</v>
      </c>
      <c r="E64" s="303" t="s">
        <v>616</v>
      </c>
      <c r="F64" s="284">
        <v>2240</v>
      </c>
      <c r="G64" s="284">
        <v>1250.21</v>
      </c>
      <c r="H64" s="338">
        <f>F64-G64</f>
        <v>989.79</v>
      </c>
    </row>
    <row r="65" spans="1:8" ht="30">
      <c r="A65" s="304" t="s">
        <v>120</v>
      </c>
      <c r="B65" s="307" t="s">
        <v>617</v>
      </c>
      <c r="C65" s="630"/>
      <c r="D65" s="308" t="s">
        <v>63</v>
      </c>
      <c r="E65" s="303" t="s">
        <v>618</v>
      </c>
      <c r="F65" s="284">
        <v>1100</v>
      </c>
      <c r="G65" s="284">
        <v>697.428</v>
      </c>
      <c r="H65" s="284">
        <f t="shared" si="9"/>
        <v>402.572</v>
      </c>
    </row>
    <row r="66" spans="1:8" ht="30">
      <c r="A66" s="304" t="s">
        <v>121</v>
      </c>
      <c r="B66" s="307" t="s">
        <v>619</v>
      </c>
      <c r="C66" s="622"/>
      <c r="D66" s="308" t="s">
        <v>63</v>
      </c>
      <c r="E66" s="311" t="s">
        <v>620</v>
      </c>
      <c r="F66" s="284">
        <v>8876</v>
      </c>
      <c r="G66" s="284">
        <v>7755.93</v>
      </c>
      <c r="H66" s="284">
        <f t="shared" si="9"/>
        <v>1120.0699999999997</v>
      </c>
    </row>
    <row r="67" spans="1:8" ht="60">
      <c r="A67" s="304" t="s">
        <v>126</v>
      </c>
      <c r="B67" s="312" t="s">
        <v>622</v>
      </c>
      <c r="C67" s="323" t="s">
        <v>621</v>
      </c>
      <c r="D67" s="290" t="s">
        <v>124</v>
      </c>
      <c r="E67" s="282" t="s">
        <v>623</v>
      </c>
      <c r="F67" s="284">
        <v>400</v>
      </c>
      <c r="G67" s="284">
        <v>395.988</v>
      </c>
      <c r="H67" s="284">
        <f t="shared" si="9"/>
        <v>4.0120000000000005</v>
      </c>
    </row>
    <row r="68" spans="1:8" ht="15">
      <c r="A68" s="304" t="s">
        <v>624</v>
      </c>
      <c r="B68" s="312" t="s">
        <v>625</v>
      </c>
      <c r="C68" s="621" t="s">
        <v>626</v>
      </c>
      <c r="D68" s="290" t="s">
        <v>124</v>
      </c>
      <c r="E68" s="282" t="s">
        <v>627</v>
      </c>
      <c r="F68" s="284">
        <v>495</v>
      </c>
      <c r="G68" s="198">
        <v>456.18200000000002</v>
      </c>
      <c r="H68" s="284">
        <f t="shared" si="9"/>
        <v>38.817999999999984</v>
      </c>
    </row>
    <row r="69" spans="1:8" ht="30">
      <c r="A69" s="304" t="s">
        <v>628</v>
      </c>
      <c r="B69" s="312" t="s">
        <v>629</v>
      </c>
      <c r="C69" s="622"/>
      <c r="D69" s="290" t="s">
        <v>124</v>
      </c>
      <c r="E69" s="282" t="s">
        <v>630</v>
      </c>
      <c r="F69" s="284">
        <v>600</v>
      </c>
      <c r="G69" s="198">
        <v>579.70600000000002</v>
      </c>
      <c r="H69" s="284">
        <f t="shared" si="9"/>
        <v>20.293999999999983</v>
      </c>
    </row>
    <row r="70" spans="1:8" ht="30">
      <c r="A70" s="304" t="s">
        <v>631</v>
      </c>
      <c r="B70" s="312" t="s">
        <v>632</v>
      </c>
      <c r="C70" s="621" t="s">
        <v>633</v>
      </c>
      <c r="D70" s="306" t="s">
        <v>128</v>
      </c>
      <c r="E70" s="303" t="s">
        <v>634</v>
      </c>
      <c r="F70" s="284">
        <v>180</v>
      </c>
      <c r="G70" s="284">
        <v>177.01</v>
      </c>
      <c r="H70" s="284">
        <f t="shared" si="9"/>
        <v>2.9900000000000091</v>
      </c>
    </row>
    <row r="71" spans="1:8" ht="29.25" customHeight="1">
      <c r="A71" s="304" t="s">
        <v>635</v>
      </c>
      <c r="B71" s="312" t="s">
        <v>636</v>
      </c>
      <c r="C71" s="630"/>
      <c r="D71" s="306" t="s">
        <v>128</v>
      </c>
      <c r="E71" s="303" t="s">
        <v>637</v>
      </c>
      <c r="F71" s="284">
        <v>620</v>
      </c>
      <c r="G71" s="284">
        <v>619.31799999999998</v>
      </c>
      <c r="H71" s="284">
        <f t="shared" si="9"/>
        <v>0.68200000000001637</v>
      </c>
    </row>
    <row r="72" spans="1:8" ht="30">
      <c r="A72" s="304" t="s">
        <v>638</v>
      </c>
      <c r="B72" s="312" t="s">
        <v>639</v>
      </c>
      <c r="C72" s="622"/>
      <c r="D72" s="306" t="s">
        <v>128</v>
      </c>
      <c r="E72" s="303" t="s">
        <v>640</v>
      </c>
      <c r="F72" s="284">
        <v>800</v>
      </c>
      <c r="G72" s="284">
        <v>799.18799999999999</v>
      </c>
      <c r="H72" s="284">
        <f t="shared" si="9"/>
        <v>0.81200000000001182</v>
      </c>
    </row>
    <row r="73" spans="1:8" ht="60">
      <c r="A73" s="304" t="s">
        <v>641</v>
      </c>
      <c r="B73" s="305" t="s">
        <v>61</v>
      </c>
      <c r="C73" s="290" t="s">
        <v>642</v>
      </c>
      <c r="D73" s="290" t="s">
        <v>130</v>
      </c>
      <c r="E73" s="303" t="s">
        <v>643</v>
      </c>
      <c r="F73" s="284">
        <v>1072</v>
      </c>
      <c r="G73" s="289">
        <v>1033.4525000000001</v>
      </c>
      <c r="H73" s="284">
        <f t="shared" si="9"/>
        <v>38.5474999999999</v>
      </c>
    </row>
    <row r="74" spans="1:8" ht="60">
      <c r="A74" s="304" t="s">
        <v>644</v>
      </c>
      <c r="B74" s="313" t="s">
        <v>645</v>
      </c>
      <c r="C74" s="323" t="s">
        <v>131</v>
      </c>
      <c r="D74" s="308" t="s">
        <v>132</v>
      </c>
      <c r="E74" s="311" t="s">
        <v>646</v>
      </c>
      <c r="F74" s="284">
        <v>130</v>
      </c>
      <c r="G74" s="289" t="s">
        <v>502</v>
      </c>
      <c r="H74" s="284">
        <f t="shared" si="9"/>
        <v>130</v>
      </c>
    </row>
    <row r="75" spans="1:8" ht="60">
      <c r="A75" s="304" t="s">
        <v>647</v>
      </c>
      <c r="B75" s="313" t="s">
        <v>648</v>
      </c>
      <c r="C75" s="323" t="s">
        <v>131</v>
      </c>
      <c r="D75" s="308" t="s">
        <v>132</v>
      </c>
      <c r="E75" s="311" t="s">
        <v>649</v>
      </c>
      <c r="F75" s="284">
        <v>500</v>
      </c>
      <c r="G75" s="284"/>
      <c r="H75" s="284">
        <f t="shared" si="9"/>
        <v>500</v>
      </c>
    </row>
    <row r="76" spans="1:8" ht="60">
      <c r="A76" s="304" t="s">
        <v>650</v>
      </c>
      <c r="B76" s="313" t="s">
        <v>651</v>
      </c>
      <c r="C76" s="323" t="s">
        <v>131</v>
      </c>
      <c r="D76" s="308" t="s">
        <v>132</v>
      </c>
      <c r="E76" s="311" t="s">
        <v>652</v>
      </c>
      <c r="F76" s="284">
        <v>800</v>
      </c>
      <c r="G76" s="284"/>
      <c r="H76" s="284">
        <f t="shared" si="9"/>
        <v>800</v>
      </c>
    </row>
    <row r="77" spans="1:8" ht="30">
      <c r="A77" s="304" t="s">
        <v>653</v>
      </c>
      <c r="B77" s="312" t="s">
        <v>654</v>
      </c>
      <c r="C77" s="621" t="s">
        <v>655</v>
      </c>
      <c r="D77" s="314" t="s">
        <v>134</v>
      </c>
      <c r="E77" s="311" t="s">
        <v>656</v>
      </c>
      <c r="F77" s="284">
        <v>600</v>
      </c>
      <c r="G77" s="284"/>
      <c r="H77" s="284">
        <f t="shared" si="9"/>
        <v>600</v>
      </c>
    </row>
    <row r="78" spans="1:8" ht="30">
      <c r="A78" s="304" t="s">
        <v>657</v>
      </c>
      <c r="B78" s="312" t="s">
        <v>658</v>
      </c>
      <c r="C78" s="622"/>
      <c r="D78" s="314" t="s">
        <v>134</v>
      </c>
      <c r="E78" s="311" t="s">
        <v>659</v>
      </c>
      <c r="F78" s="284">
        <v>500</v>
      </c>
      <c r="G78" s="284"/>
      <c r="H78" s="284">
        <f t="shared" si="9"/>
        <v>500</v>
      </c>
    </row>
    <row r="79" spans="1:8" ht="15">
      <c r="A79" s="304" t="s">
        <v>660</v>
      </c>
      <c r="B79" s="312" t="s">
        <v>661</v>
      </c>
      <c r="C79" s="621" t="s">
        <v>662</v>
      </c>
      <c r="D79" s="308" t="s">
        <v>135</v>
      </c>
      <c r="E79" s="311" t="s">
        <v>663</v>
      </c>
      <c r="F79" s="284">
        <v>600</v>
      </c>
      <c r="G79" s="284"/>
      <c r="H79" s="284">
        <f t="shared" si="9"/>
        <v>600</v>
      </c>
    </row>
    <row r="80" spans="1:8" ht="15">
      <c r="A80" s="304" t="s">
        <v>664</v>
      </c>
      <c r="B80" s="312" t="s">
        <v>665</v>
      </c>
      <c r="C80" s="622"/>
      <c r="D80" s="308" t="s">
        <v>135</v>
      </c>
      <c r="E80" s="311" t="s">
        <v>666</v>
      </c>
      <c r="F80" s="284">
        <v>600</v>
      </c>
      <c r="G80" s="284"/>
      <c r="H80" s="284">
        <f t="shared" si="9"/>
        <v>600</v>
      </c>
    </row>
    <row r="81" spans="1:8" ht="60">
      <c r="A81" s="304" t="s">
        <v>667</v>
      </c>
      <c r="B81" s="312" t="s">
        <v>668</v>
      </c>
      <c r="C81" s="290" t="s">
        <v>669</v>
      </c>
      <c r="D81" s="306" t="s">
        <v>137</v>
      </c>
      <c r="E81" s="311" t="s">
        <v>670</v>
      </c>
      <c r="F81" s="284">
        <v>800</v>
      </c>
      <c r="G81" s="284"/>
      <c r="H81" s="284">
        <f t="shared" si="9"/>
        <v>800</v>
      </c>
    </row>
    <row r="82" spans="1:8" ht="45">
      <c r="A82" s="304" t="s">
        <v>671</v>
      </c>
      <c r="B82" s="312" t="s">
        <v>672</v>
      </c>
      <c r="C82" s="290" t="s">
        <v>151</v>
      </c>
      <c r="D82" s="306" t="s">
        <v>137</v>
      </c>
      <c r="E82" s="303" t="s">
        <v>673</v>
      </c>
      <c r="F82" s="284">
        <v>800</v>
      </c>
      <c r="G82" s="284">
        <f>741.385</f>
        <v>741.38499999999999</v>
      </c>
      <c r="H82" s="284">
        <f t="shared" si="9"/>
        <v>58.615000000000009</v>
      </c>
    </row>
    <row r="83" spans="1:8" ht="60">
      <c r="A83" s="304" t="s">
        <v>682</v>
      </c>
      <c r="B83" s="312" t="s">
        <v>683</v>
      </c>
      <c r="C83" s="323" t="s">
        <v>675</v>
      </c>
      <c r="D83" s="306" t="s">
        <v>138</v>
      </c>
      <c r="E83" s="303" t="s">
        <v>684</v>
      </c>
      <c r="F83" s="284">
        <v>140</v>
      </c>
      <c r="G83" s="289" t="s">
        <v>502</v>
      </c>
      <c r="H83" s="284">
        <f t="shared" si="9"/>
        <v>140</v>
      </c>
    </row>
    <row r="84" spans="1:8" ht="60">
      <c r="A84" s="304" t="s">
        <v>685</v>
      </c>
      <c r="B84" s="312" t="s">
        <v>686</v>
      </c>
      <c r="C84" s="323" t="s">
        <v>675</v>
      </c>
      <c r="D84" s="306" t="s">
        <v>138</v>
      </c>
      <c r="E84" s="303" t="s">
        <v>687</v>
      </c>
      <c r="F84" s="284">
        <v>535</v>
      </c>
      <c r="G84" s="284"/>
      <c r="H84" s="284">
        <f t="shared" si="9"/>
        <v>535</v>
      </c>
    </row>
    <row r="85" spans="1:8" ht="30">
      <c r="A85" s="304" t="s">
        <v>688</v>
      </c>
      <c r="B85" s="312" t="s">
        <v>689</v>
      </c>
      <c r="C85" s="621" t="s">
        <v>690</v>
      </c>
      <c r="D85" s="306" t="s">
        <v>139</v>
      </c>
      <c r="E85" s="303" t="s">
        <v>691</v>
      </c>
      <c r="F85" s="284">
        <v>600</v>
      </c>
      <c r="G85" s="284">
        <v>598.29999999999995</v>
      </c>
      <c r="H85" s="284">
        <f t="shared" si="9"/>
        <v>1.7000000000000455</v>
      </c>
    </row>
    <row r="86" spans="1:8" ht="30">
      <c r="A86" s="304" t="s">
        <v>692</v>
      </c>
      <c r="B86" s="312" t="s">
        <v>693</v>
      </c>
      <c r="C86" s="622"/>
      <c r="D86" s="306" t="s">
        <v>139</v>
      </c>
      <c r="E86" s="303" t="s">
        <v>694</v>
      </c>
      <c r="F86" s="284">
        <v>550</v>
      </c>
      <c r="G86" s="284">
        <v>548.15499999999997</v>
      </c>
      <c r="H86" s="284">
        <f t="shared" si="9"/>
        <v>1.8450000000000273</v>
      </c>
    </row>
    <row r="87" spans="1:8" ht="45">
      <c r="A87" s="315" t="s">
        <v>695</v>
      </c>
      <c r="B87" s="316" t="s">
        <v>696</v>
      </c>
      <c r="C87" s="317" t="s">
        <v>150</v>
      </c>
      <c r="D87" s="317" t="s">
        <v>140</v>
      </c>
      <c r="E87" s="318" t="s">
        <v>697</v>
      </c>
      <c r="F87" s="319">
        <v>1150</v>
      </c>
      <c r="G87" s="284">
        <v>1114.9390000000001</v>
      </c>
      <c r="H87" s="284">
        <f t="shared" si="9"/>
        <v>35.060999999999922</v>
      </c>
    </row>
    <row r="88" spans="1:8" ht="30" customHeight="1">
      <c r="A88" s="304" t="s">
        <v>698</v>
      </c>
      <c r="B88" s="312" t="s">
        <v>699</v>
      </c>
      <c r="C88" s="323" t="s">
        <v>700</v>
      </c>
      <c r="D88" s="290" t="s">
        <v>141</v>
      </c>
      <c r="E88" s="318" t="s">
        <v>701</v>
      </c>
      <c r="F88" s="284">
        <v>300</v>
      </c>
      <c r="G88" s="289"/>
      <c r="H88" s="284">
        <f t="shared" si="9"/>
        <v>300</v>
      </c>
    </row>
    <row r="89" spans="1:8" ht="60">
      <c r="A89" s="304" t="s">
        <v>702</v>
      </c>
      <c r="B89" s="312" t="s">
        <v>703</v>
      </c>
      <c r="C89" s="323" t="s">
        <v>700</v>
      </c>
      <c r="D89" s="290" t="s">
        <v>141</v>
      </c>
      <c r="E89" s="318" t="s">
        <v>704</v>
      </c>
      <c r="F89" s="284">
        <v>600</v>
      </c>
      <c r="G89" s="289"/>
      <c r="H89" s="284">
        <f t="shared" si="9"/>
        <v>600</v>
      </c>
    </row>
    <row r="90" spans="1:8" ht="28.5">
      <c r="A90" s="277" t="s">
        <v>13</v>
      </c>
      <c r="B90" s="278" t="s">
        <v>31</v>
      </c>
      <c r="C90" s="278"/>
      <c r="D90" s="278"/>
      <c r="E90" s="278"/>
      <c r="F90" s="279">
        <f t="shared" ref="F90" si="10">F91</f>
        <v>16134</v>
      </c>
      <c r="G90" s="279">
        <f>G91</f>
        <v>7413.4315000000006</v>
      </c>
      <c r="H90" s="279">
        <f>H91</f>
        <v>8720.5684999999994</v>
      </c>
    </row>
    <row r="91" spans="1:8" ht="28.5" hidden="1">
      <c r="A91" s="280">
        <v>1</v>
      </c>
      <c r="B91" s="275" t="s">
        <v>705</v>
      </c>
      <c r="C91" s="275"/>
      <c r="D91" s="275"/>
      <c r="E91" s="275"/>
      <c r="F91" s="276">
        <f>SUM(F92:F111)</f>
        <v>16134</v>
      </c>
      <c r="G91" s="276">
        <f>SUM(G92:G111)</f>
        <v>7413.4315000000006</v>
      </c>
      <c r="H91" s="276">
        <f>SUM(H92:H111)</f>
        <v>8720.5684999999994</v>
      </c>
    </row>
    <row r="92" spans="1:8" ht="30">
      <c r="A92" s="308">
        <v>1</v>
      </c>
      <c r="B92" s="312" t="s">
        <v>706</v>
      </c>
      <c r="C92" s="621" t="s">
        <v>621</v>
      </c>
      <c r="D92" s="290" t="s">
        <v>124</v>
      </c>
      <c r="E92" s="282" t="s">
        <v>707</v>
      </c>
      <c r="F92" s="284">
        <v>1110</v>
      </c>
      <c r="G92" s="284">
        <v>1107.498</v>
      </c>
      <c r="H92" s="284">
        <f t="shared" ref="H92:H111" si="11">F92-G92</f>
        <v>2.5019999999999527</v>
      </c>
    </row>
    <row r="93" spans="1:8" ht="30">
      <c r="A93" s="308">
        <v>2</v>
      </c>
      <c r="B93" s="312" t="s">
        <v>708</v>
      </c>
      <c r="C93" s="622"/>
      <c r="D93" s="290" t="s">
        <v>124</v>
      </c>
      <c r="E93" s="282" t="s">
        <v>709</v>
      </c>
      <c r="F93" s="284">
        <v>600</v>
      </c>
      <c r="G93" s="284">
        <v>598.60500000000002</v>
      </c>
      <c r="H93" s="284">
        <f t="shared" si="11"/>
        <v>1.3949999999999818</v>
      </c>
    </row>
    <row r="94" spans="1:8" ht="60">
      <c r="A94" s="308">
        <v>3</v>
      </c>
      <c r="B94" s="312" t="s">
        <v>710</v>
      </c>
      <c r="C94" s="290" t="s">
        <v>633</v>
      </c>
      <c r="D94" s="290" t="s">
        <v>128</v>
      </c>
      <c r="E94" s="282" t="s">
        <v>711</v>
      </c>
      <c r="F94" s="284">
        <v>1150</v>
      </c>
      <c r="G94" s="292">
        <v>1143.4549999999999</v>
      </c>
      <c r="H94" s="284">
        <f t="shared" si="11"/>
        <v>6.5450000000000728</v>
      </c>
    </row>
    <row r="95" spans="1:8" ht="45">
      <c r="A95" s="308">
        <v>4</v>
      </c>
      <c r="B95" s="312" t="s">
        <v>712</v>
      </c>
      <c r="C95" s="290" t="s">
        <v>713</v>
      </c>
      <c r="D95" s="290" t="s">
        <v>128</v>
      </c>
      <c r="E95" s="282" t="s">
        <v>714</v>
      </c>
      <c r="F95" s="284">
        <v>250</v>
      </c>
      <c r="G95" s="284">
        <v>233.76400000000001</v>
      </c>
      <c r="H95" s="284">
        <f t="shared" si="11"/>
        <v>16.23599999999999</v>
      </c>
    </row>
    <row r="96" spans="1:8" ht="60">
      <c r="A96" s="308">
        <v>5</v>
      </c>
      <c r="B96" s="312" t="s">
        <v>715</v>
      </c>
      <c r="C96" s="290" t="s">
        <v>633</v>
      </c>
      <c r="D96" s="290" t="s">
        <v>128</v>
      </c>
      <c r="E96" s="282" t="s">
        <v>716</v>
      </c>
      <c r="F96" s="284">
        <v>306</v>
      </c>
      <c r="G96" s="284">
        <v>304.59699999999998</v>
      </c>
      <c r="H96" s="284">
        <f t="shared" si="11"/>
        <v>1.40300000000002</v>
      </c>
    </row>
    <row r="97" spans="1:8" ht="30" customHeight="1">
      <c r="A97" s="308">
        <v>6</v>
      </c>
      <c r="B97" s="312" t="s">
        <v>717</v>
      </c>
      <c r="C97" s="323" t="s">
        <v>642</v>
      </c>
      <c r="D97" s="290" t="s">
        <v>718</v>
      </c>
      <c r="E97" s="282" t="s">
        <v>719</v>
      </c>
      <c r="F97" s="284">
        <v>970</v>
      </c>
      <c r="G97" s="284">
        <v>966.40150000000006</v>
      </c>
      <c r="H97" s="284">
        <f t="shared" si="11"/>
        <v>3.5984999999999445</v>
      </c>
    </row>
    <row r="98" spans="1:8" ht="60">
      <c r="A98" s="308">
        <v>8</v>
      </c>
      <c r="B98" s="312" t="s">
        <v>720</v>
      </c>
      <c r="C98" s="323" t="s">
        <v>642</v>
      </c>
      <c r="D98" s="290" t="s">
        <v>718</v>
      </c>
      <c r="E98" s="282" t="s">
        <v>721</v>
      </c>
      <c r="F98" s="284">
        <v>706</v>
      </c>
      <c r="G98" s="284">
        <v>703.43200000000002</v>
      </c>
      <c r="H98" s="284">
        <f t="shared" si="11"/>
        <v>2.5679999999999836</v>
      </c>
    </row>
    <row r="99" spans="1:8" ht="15">
      <c r="A99" s="308">
        <v>11</v>
      </c>
      <c r="B99" s="312" t="s">
        <v>722</v>
      </c>
      <c r="C99" s="621" t="s">
        <v>655</v>
      </c>
      <c r="D99" s="290" t="s">
        <v>134</v>
      </c>
      <c r="E99" s="282" t="s">
        <v>723</v>
      </c>
      <c r="F99" s="284">
        <v>906</v>
      </c>
      <c r="G99" s="289"/>
      <c r="H99" s="284">
        <f t="shared" si="11"/>
        <v>906</v>
      </c>
    </row>
    <row r="100" spans="1:8" ht="30">
      <c r="A100" s="308">
        <v>12</v>
      </c>
      <c r="B100" s="312" t="s">
        <v>724</v>
      </c>
      <c r="C100" s="622"/>
      <c r="D100" s="290" t="s">
        <v>134</v>
      </c>
      <c r="E100" s="282" t="s">
        <v>725</v>
      </c>
      <c r="F100" s="284">
        <v>800</v>
      </c>
      <c r="G100" s="284"/>
      <c r="H100" s="284">
        <f t="shared" si="11"/>
        <v>800</v>
      </c>
    </row>
    <row r="101" spans="1:8" ht="15">
      <c r="A101" s="308">
        <v>13</v>
      </c>
      <c r="B101" s="312" t="s">
        <v>726</v>
      </c>
      <c r="C101" s="621" t="s">
        <v>662</v>
      </c>
      <c r="D101" s="290" t="s">
        <v>135</v>
      </c>
      <c r="E101" s="282" t="s">
        <v>727</v>
      </c>
      <c r="F101" s="284">
        <v>1256</v>
      </c>
      <c r="G101" s="289" t="s">
        <v>502</v>
      </c>
      <c r="H101" s="284">
        <f t="shared" si="11"/>
        <v>1256</v>
      </c>
    </row>
    <row r="102" spans="1:8" ht="15">
      <c r="A102" s="308">
        <v>14</v>
      </c>
      <c r="B102" s="312" t="s">
        <v>728</v>
      </c>
      <c r="C102" s="622"/>
      <c r="D102" s="290" t="s">
        <v>135</v>
      </c>
      <c r="E102" s="282" t="s">
        <v>729</v>
      </c>
      <c r="F102" s="284">
        <v>450</v>
      </c>
      <c r="G102" s="289" t="s">
        <v>502</v>
      </c>
      <c r="H102" s="284">
        <f t="shared" si="11"/>
        <v>450</v>
      </c>
    </row>
    <row r="103" spans="1:8" ht="30">
      <c r="A103" s="308">
        <v>15</v>
      </c>
      <c r="B103" s="312" t="s">
        <v>730</v>
      </c>
      <c r="C103" s="621" t="s">
        <v>669</v>
      </c>
      <c r="D103" s="290" t="s">
        <v>137</v>
      </c>
      <c r="E103" s="282" t="s">
        <v>731</v>
      </c>
      <c r="F103" s="284">
        <v>900</v>
      </c>
      <c r="G103" s="289"/>
      <c r="H103" s="284">
        <f t="shared" si="11"/>
        <v>900</v>
      </c>
    </row>
    <row r="104" spans="1:8" ht="30">
      <c r="A104" s="308">
        <v>16</v>
      </c>
      <c r="B104" s="312" t="s">
        <v>732</v>
      </c>
      <c r="C104" s="622"/>
      <c r="D104" s="290" t="s">
        <v>137</v>
      </c>
      <c r="E104" s="282" t="s">
        <v>733</v>
      </c>
      <c r="F104" s="284">
        <v>806</v>
      </c>
      <c r="G104" s="284"/>
      <c r="H104" s="284">
        <f t="shared" si="11"/>
        <v>806</v>
      </c>
    </row>
    <row r="105" spans="1:8" ht="30">
      <c r="A105" s="308">
        <v>17</v>
      </c>
      <c r="B105" s="312" t="s">
        <v>734</v>
      </c>
      <c r="C105" s="621" t="s">
        <v>735</v>
      </c>
      <c r="D105" s="290" t="s">
        <v>138</v>
      </c>
      <c r="E105" s="282" t="s">
        <v>736</v>
      </c>
      <c r="F105" s="284">
        <v>1046</v>
      </c>
      <c r="G105" s="284"/>
      <c r="H105" s="284">
        <f t="shared" si="11"/>
        <v>1046</v>
      </c>
    </row>
    <row r="106" spans="1:8" ht="30">
      <c r="A106" s="308">
        <v>18</v>
      </c>
      <c r="B106" s="312" t="s">
        <v>737</v>
      </c>
      <c r="C106" s="622"/>
      <c r="D106" s="290" t="s">
        <v>138</v>
      </c>
      <c r="E106" s="282" t="s">
        <v>738</v>
      </c>
      <c r="F106" s="284">
        <v>660</v>
      </c>
      <c r="G106" s="284"/>
      <c r="H106" s="284">
        <f t="shared" si="11"/>
        <v>660</v>
      </c>
    </row>
    <row r="107" spans="1:8" ht="30">
      <c r="A107" s="308">
        <v>19</v>
      </c>
      <c r="B107" s="312" t="s">
        <v>739</v>
      </c>
      <c r="C107" s="621" t="s">
        <v>690</v>
      </c>
      <c r="D107" s="290" t="s">
        <v>139</v>
      </c>
      <c r="E107" s="282" t="s">
        <v>740</v>
      </c>
      <c r="F107" s="284">
        <v>1106</v>
      </c>
      <c r="G107" s="289">
        <v>1103.1500000000001</v>
      </c>
      <c r="H107" s="284">
        <f t="shared" si="11"/>
        <v>2.8499999999999091</v>
      </c>
    </row>
    <row r="108" spans="1:8" ht="15">
      <c r="A108" s="308">
        <v>20</v>
      </c>
      <c r="B108" s="312" t="s">
        <v>741</v>
      </c>
      <c r="C108" s="622"/>
      <c r="D108" s="290" t="s">
        <v>139</v>
      </c>
      <c r="E108" s="282" t="s">
        <v>742</v>
      </c>
      <c r="F108" s="284">
        <v>600</v>
      </c>
      <c r="G108" s="284"/>
      <c r="H108" s="284">
        <f t="shared" si="11"/>
        <v>600</v>
      </c>
    </row>
    <row r="109" spans="1:8" ht="15">
      <c r="A109" s="320">
        <v>21</v>
      </c>
      <c r="B109" s="316" t="s">
        <v>743</v>
      </c>
      <c r="C109" s="692" t="s">
        <v>744</v>
      </c>
      <c r="D109" s="317" t="s">
        <v>140</v>
      </c>
      <c r="E109" s="318" t="s">
        <v>745</v>
      </c>
      <c r="F109" s="319">
        <v>1266</v>
      </c>
      <c r="G109" s="319">
        <v>1252.529</v>
      </c>
      <c r="H109" s="284">
        <f t="shared" si="11"/>
        <v>13.471000000000004</v>
      </c>
    </row>
    <row r="110" spans="1:8" ht="30">
      <c r="A110" s="320">
        <v>22</v>
      </c>
      <c r="B110" s="316" t="s">
        <v>746</v>
      </c>
      <c r="C110" s="693"/>
      <c r="D110" s="317" t="s">
        <v>140</v>
      </c>
      <c r="E110" s="318" t="s">
        <v>747</v>
      </c>
      <c r="F110" s="319">
        <v>440</v>
      </c>
      <c r="G110" s="319"/>
      <c r="H110" s="284">
        <f t="shared" si="11"/>
        <v>440</v>
      </c>
    </row>
    <row r="111" spans="1:8" ht="30">
      <c r="A111" s="308">
        <v>24</v>
      </c>
      <c r="B111" s="312" t="s">
        <v>748</v>
      </c>
      <c r="C111" s="325"/>
      <c r="D111" s="290" t="s">
        <v>141</v>
      </c>
      <c r="E111" s="282" t="s">
        <v>749</v>
      </c>
      <c r="F111" s="284">
        <v>806</v>
      </c>
      <c r="G111" s="289"/>
      <c r="H111" s="284">
        <f t="shared" si="11"/>
        <v>806</v>
      </c>
    </row>
  </sheetData>
  <mergeCells count="19">
    <mergeCell ref="A4:B4"/>
    <mergeCell ref="C8:C9"/>
    <mergeCell ref="C25:C27"/>
    <mergeCell ref="C28:C31"/>
    <mergeCell ref="C32:C33"/>
    <mergeCell ref="C77:C78"/>
    <mergeCell ref="C79:C80"/>
    <mergeCell ref="C85:C86"/>
    <mergeCell ref="C92:C93"/>
    <mergeCell ref="C37:C45"/>
    <mergeCell ref="C51:C66"/>
    <mergeCell ref="C68:C69"/>
    <mergeCell ref="C70:C72"/>
    <mergeCell ref="C107:C108"/>
    <mergeCell ref="C109:C110"/>
    <mergeCell ref="C99:C100"/>
    <mergeCell ref="C101:C102"/>
    <mergeCell ref="C103:C104"/>
    <mergeCell ref="C105:C10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RowHeight="12.75"/>
  <cols>
    <col min="1" max="1" width="6.1640625" style="25" customWidth="1"/>
    <col min="2" max="2" width="36.1640625" style="25" customWidth="1"/>
    <col min="3" max="3" width="15.1640625" style="25" customWidth="1"/>
    <col min="4" max="6" width="15" style="25" customWidth="1"/>
    <col min="7" max="16384" width="9.33203125" style="25"/>
  </cols>
  <sheetData>
    <row r="4" spans="1:6" ht="12.75" customHeight="1">
      <c r="A4" s="706" t="s">
        <v>0</v>
      </c>
      <c r="B4" s="706" t="s">
        <v>149</v>
      </c>
      <c r="C4" s="707" t="s">
        <v>72</v>
      </c>
      <c r="D4" s="466" t="s">
        <v>474</v>
      </c>
      <c r="E4" s="467" t="s">
        <v>775</v>
      </c>
      <c r="F4" s="698" t="s">
        <v>776</v>
      </c>
    </row>
    <row r="5" spans="1:6" ht="25.5">
      <c r="A5" s="706"/>
      <c r="B5" s="706"/>
      <c r="C5" s="708"/>
      <c r="D5" s="374" t="s">
        <v>144</v>
      </c>
      <c r="E5" s="375" t="s">
        <v>142</v>
      </c>
      <c r="F5" s="699"/>
    </row>
    <row r="6" spans="1:6">
      <c r="A6" s="376"/>
      <c r="B6" s="376" t="s">
        <v>7</v>
      </c>
      <c r="C6" s="376"/>
      <c r="D6" s="377">
        <f>D7+D33+D41</f>
        <v>22557.893</v>
      </c>
      <c r="E6" s="378">
        <f>E7+E33+E41</f>
        <v>10179.596229999999</v>
      </c>
      <c r="F6" s="378">
        <f>F7+F33+F41</f>
        <v>12378.296770000001</v>
      </c>
    </row>
    <row r="7" spans="1:6" ht="25.5">
      <c r="A7" s="379" t="s">
        <v>145</v>
      </c>
      <c r="B7" s="379" t="s">
        <v>777</v>
      </c>
      <c r="C7" s="379"/>
      <c r="D7" s="380">
        <f t="shared" ref="D7:F7" si="0">D8+D11+D23+D25+D29</f>
        <v>7573</v>
      </c>
      <c r="E7" s="380">
        <f t="shared" si="0"/>
        <v>3100.8510000000001</v>
      </c>
      <c r="F7" s="380">
        <f t="shared" si="0"/>
        <v>4472.1490000000003</v>
      </c>
    </row>
    <row r="8" spans="1:6" ht="25.5">
      <c r="A8" s="381" t="s">
        <v>3</v>
      </c>
      <c r="B8" s="382" t="s">
        <v>778</v>
      </c>
      <c r="C8" s="383"/>
      <c r="D8" s="384">
        <f t="shared" ref="D8" si="1">SUM(D9:D10)</f>
        <v>1934</v>
      </c>
      <c r="E8" s="385">
        <f>SUM(E9:E10)</f>
        <v>1908.7339999999999</v>
      </c>
      <c r="F8" s="385">
        <f>SUM(F9:F10)</f>
        <v>25.266000000000076</v>
      </c>
    </row>
    <row r="9" spans="1:6" ht="38.25">
      <c r="A9" s="386">
        <v>1</v>
      </c>
      <c r="B9" s="387" t="s">
        <v>779</v>
      </c>
      <c r="C9" s="388" t="s">
        <v>48</v>
      </c>
      <c r="D9" s="389">
        <v>934</v>
      </c>
      <c r="E9" s="390">
        <v>908.93</v>
      </c>
      <c r="F9" s="391">
        <f>D9-E9</f>
        <v>25.07000000000005</v>
      </c>
    </row>
    <row r="10" spans="1:6" ht="25.5">
      <c r="A10" s="386">
        <v>2</v>
      </c>
      <c r="B10" s="392" t="s">
        <v>780</v>
      </c>
      <c r="C10" s="393" t="s">
        <v>132</v>
      </c>
      <c r="D10" s="389">
        <v>1000</v>
      </c>
      <c r="E10" s="394">
        <v>999.80399999999997</v>
      </c>
      <c r="F10" s="391">
        <f>D10-E10</f>
        <v>0.19600000000002638</v>
      </c>
    </row>
    <row r="11" spans="1:6" ht="25.5">
      <c r="A11" s="395" t="s">
        <v>5</v>
      </c>
      <c r="B11" s="396" t="s">
        <v>441</v>
      </c>
      <c r="C11" s="397"/>
      <c r="D11" s="398">
        <f>SUM(D12:D22)</f>
        <v>2315</v>
      </c>
      <c r="E11" s="399">
        <f>SUM(E12:E22)</f>
        <v>440.82799999999997</v>
      </c>
      <c r="F11" s="399">
        <f t="shared" ref="F11" si="2">SUM(F12:F22)</f>
        <v>1874.172</v>
      </c>
    </row>
    <row r="12" spans="1:6">
      <c r="A12" s="400">
        <v>1</v>
      </c>
      <c r="B12" s="401" t="s">
        <v>42</v>
      </c>
      <c r="C12" s="402" t="s">
        <v>42</v>
      </c>
      <c r="D12" s="389">
        <v>200</v>
      </c>
      <c r="E12" s="403"/>
      <c r="F12" s="391">
        <f t="shared" ref="F12:F22" si="3">D12-E12</f>
        <v>200</v>
      </c>
    </row>
    <row r="13" spans="1:6">
      <c r="A13" s="404">
        <v>2</v>
      </c>
      <c r="B13" s="405" t="s">
        <v>43</v>
      </c>
      <c r="C13" s="406" t="s">
        <v>43</v>
      </c>
      <c r="D13" s="407">
        <v>215</v>
      </c>
      <c r="E13" s="408">
        <v>147.80000000000001</v>
      </c>
      <c r="F13" s="409">
        <f t="shared" si="3"/>
        <v>67.199999999999989</v>
      </c>
    </row>
    <row r="14" spans="1:6">
      <c r="A14" s="404">
        <v>3</v>
      </c>
      <c r="B14" s="405" t="s">
        <v>44</v>
      </c>
      <c r="C14" s="406" t="s">
        <v>44</v>
      </c>
      <c r="D14" s="407">
        <v>200</v>
      </c>
      <c r="E14" s="410">
        <v>148.02799999999999</v>
      </c>
      <c r="F14" s="409">
        <f t="shared" si="3"/>
        <v>51.972000000000008</v>
      </c>
    </row>
    <row r="15" spans="1:6">
      <c r="A15" s="404">
        <v>4</v>
      </c>
      <c r="B15" s="405" t="s">
        <v>52</v>
      </c>
      <c r="C15" s="406" t="s">
        <v>52</v>
      </c>
      <c r="D15" s="407">
        <v>200</v>
      </c>
      <c r="E15" s="408">
        <v>145</v>
      </c>
      <c r="F15" s="409">
        <f t="shared" si="3"/>
        <v>55</v>
      </c>
    </row>
    <row r="16" spans="1:6">
      <c r="A16" s="404">
        <v>5</v>
      </c>
      <c r="B16" s="405" t="s">
        <v>51</v>
      </c>
      <c r="C16" s="406" t="s">
        <v>51</v>
      </c>
      <c r="D16" s="407">
        <v>215</v>
      </c>
      <c r="E16" s="408"/>
      <c r="F16" s="409">
        <f t="shared" si="3"/>
        <v>215</v>
      </c>
    </row>
    <row r="17" spans="1:6">
      <c r="A17" s="404">
        <v>6</v>
      </c>
      <c r="B17" s="405" t="s">
        <v>45</v>
      </c>
      <c r="C17" s="406" t="s">
        <v>45</v>
      </c>
      <c r="D17" s="407">
        <v>200</v>
      </c>
      <c r="E17" s="408"/>
      <c r="F17" s="409">
        <f t="shared" si="3"/>
        <v>200</v>
      </c>
    </row>
    <row r="18" spans="1:6">
      <c r="A18" s="404">
        <v>7</v>
      </c>
      <c r="B18" s="405" t="s">
        <v>46</v>
      </c>
      <c r="C18" s="406" t="s">
        <v>46</v>
      </c>
      <c r="D18" s="407">
        <v>215</v>
      </c>
      <c r="E18" s="408"/>
      <c r="F18" s="409">
        <f t="shared" si="3"/>
        <v>215</v>
      </c>
    </row>
    <row r="19" spans="1:6">
      <c r="A19" s="404">
        <v>8</v>
      </c>
      <c r="B19" s="405" t="s">
        <v>47</v>
      </c>
      <c r="C19" s="406" t="s">
        <v>47</v>
      </c>
      <c r="D19" s="407">
        <v>255</v>
      </c>
      <c r="E19" s="408"/>
      <c r="F19" s="409">
        <f t="shared" si="3"/>
        <v>255</v>
      </c>
    </row>
    <row r="20" spans="1:6">
      <c r="A20" s="404">
        <v>9</v>
      </c>
      <c r="B20" s="405" t="s">
        <v>48</v>
      </c>
      <c r="C20" s="406" t="s">
        <v>48</v>
      </c>
      <c r="D20" s="407">
        <v>215</v>
      </c>
      <c r="E20" s="408"/>
      <c r="F20" s="409">
        <f t="shared" si="3"/>
        <v>215</v>
      </c>
    </row>
    <row r="21" spans="1:6">
      <c r="A21" s="404">
        <v>10</v>
      </c>
      <c r="B21" s="405" t="s">
        <v>49</v>
      </c>
      <c r="C21" s="406" t="s">
        <v>49</v>
      </c>
      <c r="D21" s="407">
        <v>200</v>
      </c>
      <c r="E21" s="408"/>
      <c r="F21" s="409">
        <f t="shared" si="3"/>
        <v>200</v>
      </c>
    </row>
    <row r="22" spans="1:6">
      <c r="A22" s="404">
        <v>11</v>
      </c>
      <c r="B22" s="405" t="s">
        <v>50</v>
      </c>
      <c r="C22" s="406" t="s">
        <v>50</v>
      </c>
      <c r="D22" s="407">
        <v>200</v>
      </c>
      <c r="E22" s="408"/>
      <c r="F22" s="409">
        <f t="shared" si="3"/>
        <v>200</v>
      </c>
    </row>
    <row r="23" spans="1:6" ht="25.5">
      <c r="A23" s="411" t="s">
        <v>13</v>
      </c>
      <c r="B23" s="412" t="s">
        <v>781</v>
      </c>
      <c r="C23" s="413"/>
      <c r="D23" s="414">
        <f>D24</f>
        <v>981</v>
      </c>
      <c r="E23" s="415" t="str">
        <f>E24</f>
        <v>0</v>
      </c>
      <c r="F23" s="416">
        <f>F24</f>
        <v>981</v>
      </c>
    </row>
    <row r="24" spans="1:6" ht="38.25">
      <c r="A24" s="417" t="s">
        <v>29</v>
      </c>
      <c r="B24" s="418" t="s">
        <v>444</v>
      </c>
      <c r="C24" s="419" t="s">
        <v>782</v>
      </c>
      <c r="D24" s="407">
        <v>981</v>
      </c>
      <c r="E24" s="410" t="s">
        <v>502</v>
      </c>
      <c r="F24" s="420">
        <f>D24-E24</f>
        <v>981</v>
      </c>
    </row>
    <row r="25" spans="1:6" ht="25.5">
      <c r="A25" s="411" t="s">
        <v>14</v>
      </c>
      <c r="B25" s="412" t="s">
        <v>445</v>
      </c>
      <c r="C25" s="413"/>
      <c r="D25" s="414">
        <f>SUM(D26:D28)</f>
        <v>2141</v>
      </c>
      <c r="E25" s="414">
        <f t="shared" ref="E25" si="4">SUM(E26:E28)</f>
        <v>696.25</v>
      </c>
      <c r="F25" s="414">
        <f>SUM(F26:F28)</f>
        <v>1444.75</v>
      </c>
    </row>
    <row r="26" spans="1:6" ht="25.5">
      <c r="A26" s="404">
        <v>1</v>
      </c>
      <c r="B26" s="421" t="s">
        <v>783</v>
      </c>
      <c r="C26" s="422" t="s">
        <v>784</v>
      </c>
      <c r="D26" s="407">
        <f>956+741</f>
        <v>1697</v>
      </c>
      <c r="E26" s="408">
        <v>691.25</v>
      </c>
      <c r="F26" s="420">
        <f>D26-E26</f>
        <v>1005.75</v>
      </c>
    </row>
    <row r="27" spans="1:6" ht="25.5">
      <c r="A27" s="423">
        <v>2</v>
      </c>
      <c r="B27" s="424" t="s">
        <v>785</v>
      </c>
      <c r="C27" s="702" t="s">
        <v>786</v>
      </c>
      <c r="D27" s="425">
        <v>259</v>
      </c>
      <c r="E27" s="408"/>
      <c r="F27" s="420">
        <f>D27-E27</f>
        <v>259</v>
      </c>
    </row>
    <row r="28" spans="1:6" ht="25.5">
      <c r="A28" s="404">
        <v>3</v>
      </c>
      <c r="B28" s="424" t="s">
        <v>787</v>
      </c>
      <c r="C28" s="703"/>
      <c r="D28" s="407">
        <v>185</v>
      </c>
      <c r="E28" s="408">
        <v>5</v>
      </c>
      <c r="F28" s="420">
        <f>D28-E28</f>
        <v>180</v>
      </c>
    </row>
    <row r="29" spans="1:6" ht="25.5">
      <c r="A29" s="411" t="s">
        <v>16</v>
      </c>
      <c r="B29" s="412" t="s">
        <v>456</v>
      </c>
      <c r="C29" s="413"/>
      <c r="D29" s="414">
        <f>SUM(D30:D32)</f>
        <v>202</v>
      </c>
      <c r="E29" s="415">
        <f>SUM(E30:E32)</f>
        <v>55.038999999999994</v>
      </c>
      <c r="F29" s="415">
        <f>SUM(F30:F32)</f>
        <v>146.96099999999998</v>
      </c>
    </row>
    <row r="30" spans="1:6" ht="25.5">
      <c r="A30" s="423">
        <v>1</v>
      </c>
      <c r="B30" s="424" t="s">
        <v>41</v>
      </c>
      <c r="C30" s="423" t="s">
        <v>148</v>
      </c>
      <c r="D30" s="407">
        <f>88+54</f>
        <v>142</v>
      </c>
      <c r="E30" s="408">
        <v>19.649999999999999</v>
      </c>
      <c r="F30" s="420">
        <f>D30-E30</f>
        <v>122.35</v>
      </c>
    </row>
    <row r="31" spans="1:6">
      <c r="A31" s="423">
        <v>9</v>
      </c>
      <c r="B31" s="405" t="s">
        <v>47</v>
      </c>
      <c r="C31" s="406" t="s">
        <v>47</v>
      </c>
      <c r="D31" s="407">
        <f t="shared" ref="D31:D32" si="5">20+10</f>
        <v>30</v>
      </c>
      <c r="E31" s="408">
        <v>21.114000000000001</v>
      </c>
      <c r="F31" s="420">
        <f>D31-E31</f>
        <v>8.8859999999999992</v>
      </c>
    </row>
    <row r="32" spans="1:6">
      <c r="A32" s="423">
        <v>10</v>
      </c>
      <c r="B32" s="405" t="s">
        <v>48</v>
      </c>
      <c r="C32" s="406" t="s">
        <v>48</v>
      </c>
      <c r="D32" s="407">
        <f t="shared" si="5"/>
        <v>30</v>
      </c>
      <c r="E32" s="408">
        <v>14.275</v>
      </c>
      <c r="F32" s="420">
        <f>D32-E32</f>
        <v>15.725</v>
      </c>
    </row>
    <row r="33" spans="1:6" ht="25.5">
      <c r="A33" s="379" t="s">
        <v>146</v>
      </c>
      <c r="B33" s="427" t="s">
        <v>788</v>
      </c>
      <c r="C33" s="428"/>
      <c r="D33" s="429">
        <f t="shared" ref="D33:F33" si="6">D34+D35+D36+D37+D38</f>
        <v>1465</v>
      </c>
      <c r="E33" s="429">
        <f t="shared" si="6"/>
        <v>1052.383</v>
      </c>
      <c r="F33" s="429">
        <f t="shared" si="6"/>
        <v>412.61700000000002</v>
      </c>
    </row>
    <row r="34" spans="1:6">
      <c r="A34" s="430">
        <v>1</v>
      </c>
      <c r="B34" s="454" t="s">
        <v>789</v>
      </c>
      <c r="C34" s="704" t="s">
        <v>790</v>
      </c>
      <c r="D34" s="431">
        <v>400</v>
      </c>
      <c r="E34" s="432">
        <v>300</v>
      </c>
      <c r="F34" s="420">
        <f>D34-E34</f>
        <v>100</v>
      </c>
    </row>
    <row r="35" spans="1:6" ht="38.25">
      <c r="A35" s="430">
        <v>2</v>
      </c>
      <c r="B35" s="454" t="s">
        <v>791</v>
      </c>
      <c r="C35" s="705"/>
      <c r="D35" s="431">
        <v>500</v>
      </c>
      <c r="E35" s="433">
        <v>480.59699999999998</v>
      </c>
      <c r="F35" s="420">
        <f>D35-E35</f>
        <v>19.40300000000002</v>
      </c>
    </row>
    <row r="36" spans="1:6" ht="25.5">
      <c r="A36" s="436">
        <v>4</v>
      </c>
      <c r="B36" s="455" t="s">
        <v>814</v>
      </c>
      <c r="C36" s="437" t="s">
        <v>792</v>
      </c>
      <c r="D36" s="434">
        <v>100</v>
      </c>
      <c r="E36" s="433"/>
      <c r="F36" s="420">
        <f>D36-E36</f>
        <v>100</v>
      </c>
    </row>
    <row r="37" spans="1:6" ht="38.25">
      <c r="A37" s="436">
        <v>5</v>
      </c>
      <c r="B37" s="454" t="s">
        <v>793</v>
      </c>
      <c r="C37" s="437" t="s">
        <v>790</v>
      </c>
      <c r="D37" s="438">
        <v>85</v>
      </c>
      <c r="E37" s="435">
        <v>81.93</v>
      </c>
      <c r="F37" s="420">
        <f>D37-E37</f>
        <v>3.0699999999999932</v>
      </c>
    </row>
    <row r="38" spans="1:6" ht="25.5">
      <c r="A38" s="430">
        <v>6</v>
      </c>
      <c r="B38" s="454" t="s">
        <v>794</v>
      </c>
      <c r="C38" s="374"/>
      <c r="D38" s="438">
        <f>SUM(D39:D40)</f>
        <v>380</v>
      </c>
      <c r="E38" s="439">
        <f>SUM(E39:E40)</f>
        <v>189.85599999999999</v>
      </c>
      <c r="F38" s="439">
        <f>SUM(F39:F40)</f>
        <v>190.14400000000001</v>
      </c>
    </row>
    <row r="39" spans="1:6">
      <c r="A39" s="440">
        <v>1</v>
      </c>
      <c r="B39" s="441" t="s">
        <v>62</v>
      </c>
      <c r="C39" s="442" t="s">
        <v>62</v>
      </c>
      <c r="D39" s="444">
        <f>15+175</f>
        <v>190</v>
      </c>
      <c r="E39" s="444">
        <f>15+85+89.856</f>
        <v>189.85599999999999</v>
      </c>
      <c r="F39" s="420">
        <f>D39-E39</f>
        <v>0.14400000000000546</v>
      </c>
    </row>
    <row r="40" spans="1:6">
      <c r="A40" s="440">
        <v>7</v>
      </c>
      <c r="B40" s="441" t="s">
        <v>46</v>
      </c>
      <c r="C40" s="442" t="s">
        <v>46</v>
      </c>
      <c r="D40" s="444">
        <f>15+175</f>
        <v>190</v>
      </c>
      <c r="E40" s="426"/>
      <c r="F40" s="420">
        <f>D40-E40</f>
        <v>190</v>
      </c>
    </row>
    <row r="41" spans="1:6" ht="38.25">
      <c r="A41" s="379" t="s">
        <v>152</v>
      </c>
      <c r="B41" s="427" t="s">
        <v>795</v>
      </c>
      <c r="C41" s="428"/>
      <c r="D41" s="429">
        <f>D42+D44+D68+D75+D82+D84</f>
        <v>13519.893</v>
      </c>
      <c r="E41" s="429">
        <f>E42+E44+E68+E75+E82+E84</f>
        <v>6026.3622299999997</v>
      </c>
      <c r="F41" s="429">
        <f>F42+F44+F68+F75+F82+F84</f>
        <v>7493.5307700000003</v>
      </c>
    </row>
    <row r="42" spans="1:6" ht="38.25">
      <c r="A42" s="456" t="s">
        <v>3</v>
      </c>
      <c r="B42" s="457" t="s">
        <v>796</v>
      </c>
      <c r="C42" s="458"/>
      <c r="D42" s="459">
        <f>D43</f>
        <v>1323</v>
      </c>
      <c r="E42" s="460">
        <f>E43</f>
        <v>1296.713737</v>
      </c>
      <c r="F42" s="461">
        <f t="shared" ref="F42" si="7">F43</f>
        <v>26.286262999999963</v>
      </c>
    </row>
    <row r="43" spans="1:6">
      <c r="A43" s="445" t="s">
        <v>29</v>
      </c>
      <c r="B43" s="263" t="s">
        <v>68</v>
      </c>
      <c r="C43" s="446" t="s">
        <v>68</v>
      </c>
      <c r="D43" s="264">
        <f>1323</f>
        <v>1323</v>
      </c>
      <c r="E43" s="426">
        <v>1296.713737</v>
      </c>
      <c r="F43" s="420">
        <f>D43-E43</f>
        <v>26.286262999999963</v>
      </c>
    </row>
    <row r="44" spans="1:6" ht="51">
      <c r="A44" s="456" t="s">
        <v>5</v>
      </c>
      <c r="B44" s="457" t="s">
        <v>797</v>
      </c>
      <c r="C44" s="458"/>
      <c r="D44" s="459">
        <f>D45+D56</f>
        <v>7700.1930000000002</v>
      </c>
      <c r="E44" s="462">
        <f>E45+E56</f>
        <v>3173.7238200000002</v>
      </c>
      <c r="F44" s="461">
        <f>F45+F56</f>
        <v>4526.4691800000001</v>
      </c>
    </row>
    <row r="45" spans="1:6">
      <c r="A45" s="456"/>
      <c r="B45" s="457" t="s">
        <v>488</v>
      </c>
      <c r="C45" s="458"/>
      <c r="D45" s="463">
        <f>SUM(D46:D55)</f>
        <v>3541.1930000000002</v>
      </c>
      <c r="E45" s="462">
        <f>SUM(E46:E55)</f>
        <v>3173.7238200000002</v>
      </c>
      <c r="F45" s="461">
        <f>SUM(F46:F55)</f>
        <v>367.46918000000005</v>
      </c>
    </row>
    <row r="46" spans="1:6" ht="25.5" customHeight="1">
      <c r="A46" s="262">
        <v>1</v>
      </c>
      <c r="B46" s="441" t="s">
        <v>62</v>
      </c>
      <c r="C46" s="442" t="s">
        <v>62</v>
      </c>
      <c r="D46" s="264">
        <f>327.399</f>
        <v>327.399</v>
      </c>
      <c r="E46" s="426">
        <v>321.66676000000001</v>
      </c>
      <c r="F46" s="420">
        <f>D46-E46</f>
        <v>5.7322399999999902</v>
      </c>
    </row>
    <row r="47" spans="1:6" ht="25.5" customHeight="1">
      <c r="A47" s="262">
        <v>2</v>
      </c>
      <c r="B47" s="441" t="s">
        <v>51</v>
      </c>
      <c r="C47" s="442" t="s">
        <v>51</v>
      </c>
      <c r="D47" s="264">
        <f>432.108</f>
        <v>432.108</v>
      </c>
      <c r="E47" s="426">
        <v>398.96174999999999</v>
      </c>
      <c r="F47" s="420">
        <f t="shared" ref="F47:F55" si="8">D47-E47</f>
        <v>33.146250000000009</v>
      </c>
    </row>
    <row r="48" spans="1:6" ht="25.5">
      <c r="A48" s="262">
        <v>3</v>
      </c>
      <c r="B48" s="441" t="s">
        <v>42</v>
      </c>
      <c r="C48" s="442" t="s">
        <v>42</v>
      </c>
      <c r="D48" s="264">
        <f>365.75</f>
        <v>365.75</v>
      </c>
      <c r="E48" s="426">
        <v>322.75319999999999</v>
      </c>
      <c r="F48" s="420">
        <f t="shared" si="8"/>
        <v>42.996800000000007</v>
      </c>
    </row>
    <row r="49" spans="1:6">
      <c r="A49" s="262">
        <v>4</v>
      </c>
      <c r="B49" s="441" t="s">
        <v>63</v>
      </c>
      <c r="C49" s="442" t="s">
        <v>63</v>
      </c>
      <c r="D49" s="264">
        <f>387.277</f>
        <v>387.27699999999999</v>
      </c>
      <c r="E49" s="426">
        <v>347.49880000000002</v>
      </c>
      <c r="F49" s="420">
        <f t="shared" si="8"/>
        <v>39.77819999999997</v>
      </c>
    </row>
    <row r="50" spans="1:6" ht="25.5" customHeight="1">
      <c r="A50" s="262">
        <v>5</v>
      </c>
      <c r="B50" s="441" t="s">
        <v>52</v>
      </c>
      <c r="C50" s="442" t="s">
        <v>52</v>
      </c>
      <c r="D50" s="264">
        <f>418.418</f>
        <v>418.41800000000001</v>
      </c>
      <c r="E50" s="426">
        <v>357.47399999999999</v>
      </c>
      <c r="F50" s="420">
        <f t="shared" si="8"/>
        <v>60.944000000000017</v>
      </c>
    </row>
    <row r="51" spans="1:6">
      <c r="A51" s="262">
        <v>6</v>
      </c>
      <c r="B51" s="441" t="s">
        <v>45</v>
      </c>
      <c r="C51" s="442" t="s">
        <v>45</v>
      </c>
      <c r="D51" s="264">
        <f>271.7</f>
        <v>271.7</v>
      </c>
      <c r="E51" s="426">
        <v>265.17500000000001</v>
      </c>
      <c r="F51" s="420">
        <f t="shared" si="8"/>
        <v>6.5249999999999773</v>
      </c>
    </row>
    <row r="52" spans="1:6">
      <c r="A52" s="262">
        <v>7</v>
      </c>
      <c r="B52" s="441" t="s">
        <v>46</v>
      </c>
      <c r="C52" s="442" t="s">
        <v>46</v>
      </c>
      <c r="D52" s="264">
        <f>262.922</f>
        <v>262.92200000000003</v>
      </c>
      <c r="E52" s="426">
        <v>224.71600000000001</v>
      </c>
      <c r="F52" s="420">
        <f t="shared" si="8"/>
        <v>38.206000000000017</v>
      </c>
    </row>
    <row r="53" spans="1:6" ht="25.5" customHeight="1">
      <c r="A53" s="262">
        <v>8</v>
      </c>
      <c r="B53" s="441" t="s">
        <v>64</v>
      </c>
      <c r="C53" s="442" t="s">
        <v>64</v>
      </c>
      <c r="D53" s="264">
        <f>400.235</f>
        <v>400.23500000000001</v>
      </c>
      <c r="E53" s="426">
        <v>350.55216999999999</v>
      </c>
      <c r="F53" s="420">
        <f t="shared" si="8"/>
        <v>49.682830000000024</v>
      </c>
    </row>
    <row r="54" spans="1:6">
      <c r="A54" s="262">
        <v>9</v>
      </c>
      <c r="B54" s="441" t="s">
        <v>65</v>
      </c>
      <c r="C54" s="442" t="s">
        <v>65</v>
      </c>
      <c r="D54" s="264">
        <f>361.884</f>
        <v>361.88400000000001</v>
      </c>
      <c r="E54" s="426">
        <v>333.67613999999998</v>
      </c>
      <c r="F54" s="420">
        <f t="shared" si="8"/>
        <v>28.207860000000039</v>
      </c>
    </row>
    <row r="55" spans="1:6" ht="25.5" customHeight="1">
      <c r="A55" s="262">
        <v>11</v>
      </c>
      <c r="B55" s="441" t="s">
        <v>44</v>
      </c>
      <c r="C55" s="442" t="s">
        <v>44</v>
      </c>
      <c r="D55" s="264">
        <f>313.5</f>
        <v>313.5</v>
      </c>
      <c r="E55" s="447">
        <v>251.25</v>
      </c>
      <c r="F55" s="420">
        <f t="shared" si="8"/>
        <v>62.25</v>
      </c>
    </row>
    <row r="56" spans="1:6">
      <c r="A56" s="456"/>
      <c r="B56" s="457" t="s">
        <v>489</v>
      </c>
      <c r="C56" s="464"/>
      <c r="D56" s="463">
        <f>SUM(D57:D67)</f>
        <v>4159</v>
      </c>
      <c r="E56" s="462">
        <f t="shared" ref="E56" si="9">SUM(E57:E67)</f>
        <v>0</v>
      </c>
      <c r="F56" s="461">
        <f>SUM(F57:F67)</f>
        <v>4159</v>
      </c>
    </row>
    <row r="57" spans="1:6" ht="25.5" customHeight="1">
      <c r="A57" s="262">
        <v>1</v>
      </c>
      <c r="B57" s="441" t="s">
        <v>62</v>
      </c>
      <c r="C57" s="442" t="s">
        <v>62</v>
      </c>
      <c r="D57" s="443">
        <f>360.12</f>
        <v>360.12</v>
      </c>
      <c r="E57" s="426"/>
      <c r="F57" s="448">
        <f>D57-E57</f>
        <v>360.12</v>
      </c>
    </row>
    <row r="58" spans="1:6" ht="25.5" customHeight="1">
      <c r="A58" s="262">
        <v>2</v>
      </c>
      <c r="B58" s="441" t="s">
        <v>51</v>
      </c>
      <c r="C58" s="442" t="s">
        <v>51</v>
      </c>
      <c r="D58" s="443">
        <f>381.48</f>
        <v>381.48</v>
      </c>
      <c r="E58" s="426"/>
      <c r="F58" s="448">
        <f t="shared" ref="F58:F67" si="10">D58-E58</f>
        <v>381.48</v>
      </c>
    </row>
    <row r="59" spans="1:6" ht="25.5">
      <c r="A59" s="262">
        <v>3</v>
      </c>
      <c r="B59" s="441" t="s">
        <v>42</v>
      </c>
      <c r="C59" s="442" t="s">
        <v>42</v>
      </c>
      <c r="D59" s="443">
        <f>363.62</f>
        <v>363.62</v>
      </c>
      <c r="E59" s="449"/>
      <c r="F59" s="448">
        <f t="shared" si="10"/>
        <v>363.62</v>
      </c>
    </row>
    <row r="60" spans="1:6">
      <c r="A60" s="262">
        <v>4</v>
      </c>
      <c r="B60" s="441" t="s">
        <v>63</v>
      </c>
      <c r="C60" s="442" t="s">
        <v>63</v>
      </c>
      <c r="D60" s="443">
        <f>356.73</f>
        <v>356.73</v>
      </c>
      <c r="E60" s="426"/>
      <c r="F60" s="448">
        <f t="shared" si="10"/>
        <v>356.73</v>
      </c>
    </row>
    <row r="61" spans="1:6" ht="25.5" customHeight="1">
      <c r="A61" s="262">
        <v>5</v>
      </c>
      <c r="B61" s="441" t="s">
        <v>52</v>
      </c>
      <c r="C61" s="442" t="s">
        <v>52</v>
      </c>
      <c r="D61" s="443">
        <f>382.82</f>
        <v>382.82</v>
      </c>
      <c r="E61" s="426"/>
      <c r="F61" s="448">
        <f t="shared" si="10"/>
        <v>382.82</v>
      </c>
    </row>
    <row r="62" spans="1:6">
      <c r="A62" s="262">
        <v>6</v>
      </c>
      <c r="B62" s="441" t="s">
        <v>45</v>
      </c>
      <c r="C62" s="442" t="s">
        <v>45</v>
      </c>
      <c r="D62" s="443">
        <f>388.92</f>
        <v>388.92</v>
      </c>
      <c r="E62" s="426"/>
      <c r="F62" s="448">
        <f t="shared" si="10"/>
        <v>388.92</v>
      </c>
    </row>
    <row r="63" spans="1:6">
      <c r="A63" s="262">
        <v>7</v>
      </c>
      <c r="B63" s="441" t="s">
        <v>46</v>
      </c>
      <c r="C63" s="442" t="s">
        <v>46</v>
      </c>
      <c r="D63" s="443">
        <f>394.54</f>
        <v>394.54</v>
      </c>
      <c r="E63" s="426"/>
      <c r="F63" s="448">
        <f t="shared" si="10"/>
        <v>394.54</v>
      </c>
    </row>
    <row r="64" spans="1:6" ht="25.5" customHeight="1">
      <c r="A64" s="262">
        <v>8</v>
      </c>
      <c r="B64" s="441" t="s">
        <v>64</v>
      </c>
      <c r="C64" s="442" t="s">
        <v>64</v>
      </c>
      <c r="D64" s="443">
        <f>379.16</f>
        <v>379.16</v>
      </c>
      <c r="E64" s="426"/>
      <c r="F64" s="448">
        <f>D64-E64</f>
        <v>379.16</v>
      </c>
    </row>
    <row r="65" spans="1:6">
      <c r="A65" s="262">
        <v>9</v>
      </c>
      <c r="B65" s="441" t="s">
        <v>65</v>
      </c>
      <c r="C65" s="442" t="s">
        <v>65</v>
      </c>
      <c r="D65" s="443">
        <f>386.54</f>
        <v>386.54</v>
      </c>
      <c r="E65" s="426"/>
      <c r="F65" s="448">
        <f>D65-E65</f>
        <v>386.54</v>
      </c>
    </row>
    <row r="66" spans="1:6">
      <c r="A66" s="262">
        <v>10</v>
      </c>
      <c r="B66" s="441" t="s">
        <v>66</v>
      </c>
      <c r="C66" s="442" t="s">
        <v>66</v>
      </c>
      <c r="D66" s="443">
        <f>381.45</f>
        <v>381.45</v>
      </c>
      <c r="E66" s="426"/>
      <c r="F66" s="448">
        <f t="shared" si="10"/>
        <v>381.45</v>
      </c>
    </row>
    <row r="67" spans="1:6" ht="25.5" customHeight="1">
      <c r="A67" s="262">
        <v>11</v>
      </c>
      <c r="B67" s="441" t="s">
        <v>44</v>
      </c>
      <c r="C67" s="442" t="s">
        <v>44</v>
      </c>
      <c r="D67" s="443">
        <f>383.62</f>
        <v>383.62</v>
      </c>
      <c r="E67" s="449" t="s">
        <v>502</v>
      </c>
      <c r="F67" s="448">
        <f t="shared" si="10"/>
        <v>383.62</v>
      </c>
    </row>
    <row r="68" spans="1:6" ht="63.75">
      <c r="A68" s="456" t="s">
        <v>13</v>
      </c>
      <c r="B68" s="457" t="s">
        <v>798</v>
      </c>
      <c r="C68" s="458"/>
      <c r="D68" s="463">
        <f>SUM(D70:D74)</f>
        <v>548.69999999999993</v>
      </c>
      <c r="E68" s="462">
        <f>SUM(E70:E74)</f>
        <v>430.05467299999998</v>
      </c>
      <c r="F68" s="461">
        <f>SUM(F70:F74)</f>
        <v>118.64532700000001</v>
      </c>
    </row>
    <row r="69" spans="1:6">
      <c r="A69" s="456"/>
      <c r="B69" s="457" t="s">
        <v>488</v>
      </c>
      <c r="C69" s="458"/>
      <c r="D69" s="459"/>
      <c r="E69" s="426"/>
      <c r="F69" s="448"/>
    </row>
    <row r="70" spans="1:6">
      <c r="A70" s="262">
        <v>1</v>
      </c>
      <c r="B70" s="441" t="s">
        <v>62</v>
      </c>
      <c r="C70" s="442" t="s">
        <v>62</v>
      </c>
      <c r="D70" s="443">
        <f>105.3</f>
        <v>105.3</v>
      </c>
      <c r="E70" s="426">
        <v>105</v>
      </c>
      <c r="F70" s="448">
        <f>D70-E70</f>
        <v>0.29999999999999716</v>
      </c>
    </row>
    <row r="71" spans="1:6" ht="25.5">
      <c r="A71" s="262">
        <v>3</v>
      </c>
      <c r="B71" s="441" t="s">
        <v>42</v>
      </c>
      <c r="C71" s="442" t="s">
        <v>42</v>
      </c>
      <c r="D71" s="443">
        <f>105.9</f>
        <v>105.9</v>
      </c>
      <c r="E71" s="449">
        <v>105.782673</v>
      </c>
      <c r="F71" s="448">
        <f>D71-E71</f>
        <v>0.11732700000000307</v>
      </c>
    </row>
    <row r="72" spans="1:6">
      <c r="A72" s="262">
        <v>7</v>
      </c>
      <c r="B72" s="441" t="s">
        <v>46</v>
      </c>
      <c r="C72" s="442" t="s">
        <v>46</v>
      </c>
      <c r="D72" s="443">
        <f>118.2</f>
        <v>118.2</v>
      </c>
      <c r="E72" s="426"/>
      <c r="F72" s="448">
        <f>D72-E72</f>
        <v>118.2</v>
      </c>
    </row>
    <row r="73" spans="1:6">
      <c r="A73" s="262">
        <v>8</v>
      </c>
      <c r="B73" s="441" t="s">
        <v>64</v>
      </c>
      <c r="C73" s="442" t="s">
        <v>64</v>
      </c>
      <c r="D73" s="443">
        <f>108.9</f>
        <v>108.9</v>
      </c>
      <c r="E73" s="426">
        <v>108.873</v>
      </c>
      <c r="F73" s="448">
        <f>D73-E73</f>
        <v>2.7000000000001023E-2</v>
      </c>
    </row>
    <row r="74" spans="1:6">
      <c r="A74" s="262">
        <v>9</v>
      </c>
      <c r="B74" s="441" t="s">
        <v>65</v>
      </c>
      <c r="C74" s="442" t="s">
        <v>65</v>
      </c>
      <c r="D74" s="443">
        <f>110.4</f>
        <v>110.4</v>
      </c>
      <c r="E74" s="443">
        <f>110.399</f>
        <v>110.399</v>
      </c>
      <c r="F74" s="448">
        <f>D74-E74</f>
        <v>1.0000000000047748E-3</v>
      </c>
    </row>
    <row r="75" spans="1:6" ht="25.5">
      <c r="A75" s="456" t="s">
        <v>14</v>
      </c>
      <c r="B75" s="457" t="s">
        <v>799</v>
      </c>
      <c r="C75" s="458"/>
      <c r="D75" s="463">
        <f>SUM(D76:D81)</f>
        <v>3193</v>
      </c>
      <c r="E75" s="462">
        <f>SUM(E76:E81)</f>
        <v>674.83899999999994</v>
      </c>
      <c r="F75" s="461">
        <f>SUM(F76:F81)</f>
        <v>2518.1610000000001</v>
      </c>
    </row>
    <row r="76" spans="1:6" ht="25.5">
      <c r="A76" s="450">
        <v>1</v>
      </c>
      <c r="B76" s="263" t="s">
        <v>800</v>
      </c>
      <c r="C76" s="446" t="s">
        <v>801</v>
      </c>
      <c r="D76" s="358">
        <v>367.5</v>
      </c>
      <c r="E76" s="465">
        <v>234.67500000000001</v>
      </c>
      <c r="F76" s="448">
        <f t="shared" ref="F76:F81" si="11">D76-E76</f>
        <v>132.82499999999999</v>
      </c>
    </row>
    <row r="77" spans="1:6" ht="25.5">
      <c r="A77" s="262">
        <v>2</v>
      </c>
      <c r="B77" s="263" t="s">
        <v>802</v>
      </c>
      <c r="C77" s="446" t="s">
        <v>148</v>
      </c>
      <c r="D77" s="358">
        <f>300+336.4</f>
        <v>636.4</v>
      </c>
      <c r="E77" s="426">
        <f>150+290.164</f>
        <v>440.16399999999999</v>
      </c>
      <c r="F77" s="448">
        <f t="shared" si="11"/>
        <v>196.23599999999999</v>
      </c>
    </row>
    <row r="78" spans="1:6">
      <c r="A78" s="450">
        <v>3</v>
      </c>
      <c r="B78" s="263" t="s">
        <v>803</v>
      </c>
      <c r="C78" s="446" t="s">
        <v>68</v>
      </c>
      <c r="D78" s="443">
        <f>186</f>
        <v>186</v>
      </c>
      <c r="E78" s="426"/>
      <c r="F78" s="448">
        <f t="shared" si="11"/>
        <v>186</v>
      </c>
    </row>
    <row r="79" spans="1:6">
      <c r="A79" s="450">
        <v>3</v>
      </c>
      <c r="B79" s="263" t="s">
        <v>804</v>
      </c>
      <c r="C79" s="446" t="s">
        <v>68</v>
      </c>
      <c r="D79" s="443">
        <f>187</f>
        <v>187</v>
      </c>
      <c r="E79" s="426"/>
      <c r="F79" s="448">
        <f t="shared" si="11"/>
        <v>187</v>
      </c>
    </row>
    <row r="80" spans="1:6" ht="25.5">
      <c r="A80" s="262">
        <v>4</v>
      </c>
      <c r="B80" s="263" t="s">
        <v>805</v>
      </c>
      <c r="C80" s="446" t="s">
        <v>806</v>
      </c>
      <c r="D80" s="443">
        <v>153</v>
      </c>
      <c r="E80" s="426"/>
      <c r="F80" s="448">
        <f t="shared" si="11"/>
        <v>153</v>
      </c>
    </row>
    <row r="81" spans="1:6" ht="38.25">
      <c r="A81" s="450">
        <v>5</v>
      </c>
      <c r="B81" s="451" t="s">
        <v>807</v>
      </c>
      <c r="C81" s="452" t="s">
        <v>40</v>
      </c>
      <c r="D81" s="358">
        <v>1663.1</v>
      </c>
      <c r="E81" s="426"/>
      <c r="F81" s="448">
        <f t="shared" si="11"/>
        <v>1663.1</v>
      </c>
    </row>
    <row r="82" spans="1:6" ht="38.25">
      <c r="A82" s="456" t="s">
        <v>15</v>
      </c>
      <c r="B82" s="457" t="s">
        <v>809</v>
      </c>
      <c r="C82" s="458"/>
      <c r="D82" s="459">
        <f>D83</f>
        <v>465</v>
      </c>
      <c r="E82" s="462">
        <f>E83</f>
        <v>403.47899999999998</v>
      </c>
      <c r="F82" s="461">
        <f>F83</f>
        <v>61.521000000000015</v>
      </c>
    </row>
    <row r="83" spans="1:6" ht="25.5">
      <c r="A83" s="445" t="s">
        <v>29</v>
      </c>
      <c r="B83" s="263" t="s">
        <v>69</v>
      </c>
      <c r="C83" s="446" t="s">
        <v>69</v>
      </c>
      <c r="D83" s="443">
        <v>465</v>
      </c>
      <c r="E83" s="426">
        <v>403.47899999999998</v>
      </c>
      <c r="F83" s="448">
        <f>D83-E83</f>
        <v>61.521000000000015</v>
      </c>
    </row>
    <row r="84" spans="1:6" ht="63.75">
      <c r="A84" s="456" t="s">
        <v>485</v>
      </c>
      <c r="B84" s="457" t="s">
        <v>810</v>
      </c>
      <c r="C84" s="458"/>
      <c r="D84" s="459">
        <f>SUM(D85:D87)</f>
        <v>290</v>
      </c>
      <c r="E84" s="462">
        <f>SUM(E85:E87)</f>
        <v>47.552</v>
      </c>
      <c r="F84" s="461">
        <f>SUM(F85:F87)</f>
        <v>242.44799999999998</v>
      </c>
    </row>
    <row r="85" spans="1:6">
      <c r="A85" s="262">
        <v>1</v>
      </c>
      <c r="B85" s="263" t="s">
        <v>811</v>
      </c>
      <c r="C85" s="700" t="s">
        <v>68</v>
      </c>
      <c r="D85" s="443">
        <v>179</v>
      </c>
      <c r="E85" s="426">
        <v>30.4</v>
      </c>
      <c r="F85" s="448">
        <f>D85-E85</f>
        <v>148.6</v>
      </c>
    </row>
    <row r="86" spans="1:6">
      <c r="A86" s="262">
        <v>2</v>
      </c>
      <c r="B86" s="263" t="s">
        <v>812</v>
      </c>
      <c r="C86" s="701"/>
      <c r="D86" s="443">
        <v>69</v>
      </c>
      <c r="E86" s="426">
        <v>17.152000000000001</v>
      </c>
      <c r="F86" s="448">
        <f>D86-E86</f>
        <v>51.847999999999999</v>
      </c>
    </row>
    <row r="87" spans="1:6" ht="38.25" customHeight="1">
      <c r="A87" s="262">
        <v>3</v>
      </c>
      <c r="B87" s="453" t="s">
        <v>813</v>
      </c>
      <c r="C87" s="437" t="s">
        <v>808</v>
      </c>
      <c r="D87" s="443">
        <f>42</f>
        <v>42</v>
      </c>
      <c r="E87" s="449" t="s">
        <v>502</v>
      </c>
      <c r="F87" s="448">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PL II 2022</vt:lpstr>
      <vt:lpstr>PL 02 tổg CTMT</vt:lpstr>
      <vt:lpstr>B3 CTMT.đầu tư</vt:lpstr>
      <vt:lpstr>B4 CTMT SN</vt:lpstr>
      <vt:lpstr>Sheet1</vt:lpstr>
      <vt:lpstr>sn</vt:lpstr>
      <vt:lpstr>'B3 CTMT.đầu tư'!Print_Area</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2023-05-22T08:28:56Z</cp:lastPrinted>
  <dcterms:created xsi:type="dcterms:W3CDTF">2019-07-30T07:31:23Z</dcterms:created>
  <dcterms:modified xsi:type="dcterms:W3CDTF">2023-05-22T08:29:25Z</dcterms:modified>
</cp:coreProperties>
</file>