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1"/>
  </bookViews>
  <sheets>
    <sheet name="PL II 2022" sheetId="29" state="hidden" r:id="rId1"/>
    <sheet name="PL đầu tư" sheetId="35" r:id="rId2"/>
    <sheet name="Sheet1" sheetId="38" state="hidden" r:id="rId3"/>
    <sheet name="sn" sheetId="39" state="hidden" r:id="rId4"/>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ru21" localSheetId="0" hidden="1">{"'Sheet1'!$L$16"}</definedName>
    <definedName name="____Tru2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hidden="1">{"'Sheet1'!$L$16"}</definedName>
    <definedName name="___TT31" localSheetId="0" hidden="1">{"'Sheet1'!$L$16"}</definedName>
    <definedName name="___TT31" hidden="1">{"'Sheet1'!$L$16"}</definedName>
    <definedName name="___Tru21" localSheetId="0" hidden="1">{"'Sheet1'!$L$16"}</definedName>
    <definedName name="___Tru2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L1242">#REF!</definedName>
    <definedName name="__Pl2" localSheetId="0"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hidden="1">{"'Sheet1'!$L$16"}</definedName>
    <definedName name="__TT31" localSheetId="0" hidden="1">{"'Sheet1'!$L$16"}</definedName>
    <definedName name="__TT31" hidden="1">{"'Sheet1'!$L$16"}</definedName>
    <definedName name="__TH1">#REF!</definedName>
    <definedName name="__TH2">#REF!</definedName>
    <definedName name="__TH3">#REF!</definedName>
    <definedName name="__Tru21" localSheetId="0"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m190" localSheetId="0">#REF!</definedName>
    <definedName name="_km190">#REF!</definedName>
    <definedName name="_km191">#REF!</definedName>
    <definedName name="_km192">#REF!</definedName>
    <definedName name="_KH08" localSheetId="0" hidden="1">{#N/A,#N/A,FALSE,"Chi tiÆt"}</definedName>
    <definedName name="_KH08" hidden="1">{#N/A,#N/A,FALSE,"Chi tiÆt"}</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SO2" localSheetId="0" hidden="1">{"'Sheet1'!$L$16"}</definedName>
    <definedName name="_NSO2" hidden="1">{"'Sheet1'!$L$16"}</definedName>
    <definedName name="_nh2" localSheetId="0" hidden="1">{#N/A,#N/A,FALSE,"Chi tiÆt"}</definedName>
    <definedName name="_nh2" hidden="1">{#N/A,#N/A,FALSE,"Chi tiÆt"}</definedName>
    <definedName name="_Order1" hidden="1">255</definedName>
    <definedName name="_Order2" hidden="1">255</definedName>
    <definedName name="_PA3" localSheetId="0" hidden="1">{"'Sheet1'!$L$16"}</definedName>
    <definedName name="_PA3" hidden="1">{"'Sheet1'!$L$16"}</definedName>
    <definedName name="_PL1242">#REF!</definedName>
    <definedName name="_Pl2" localSheetId="0" hidden="1">{"'Sheet1'!$L$16"}</definedName>
    <definedName name="_Pl2" hidden="1">{"'Sheet1'!$L$16"}</definedName>
    <definedName name="_PL3" hidden="1">#REF!</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hidden="1">{"'Sheet1'!$L$16"}</definedName>
    <definedName name="_TT31" localSheetId="0" hidden="1">{"'Sheet1'!$L$16"}</definedName>
    <definedName name="_TT31" hidden="1">{"'Sheet1'!$L$16"}</definedName>
    <definedName name="_TH1">#REF!</definedName>
    <definedName name="_TH2">#REF!</definedName>
    <definedName name="_TH3">#REF!</definedName>
    <definedName name="_Tru21" localSheetId="0" hidden="1">{"'Sheet1'!$L$16"}</definedName>
    <definedName name="_Tru2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SYU">#N/A</definedName>
    <definedName name="catvang" localSheetId="0">#REF!</definedName>
    <definedName name="catvang">#REF!</definedName>
    <definedName name="CATREC">#N/A</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đ" localSheetId="0" hidden="1">{"'Sheet1'!$L$16"}</definedName>
    <definedName name="dđ" hidden="1">{"'Sheet1'!$L$16"}</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VL">#REF!</definedName>
    <definedName name="HTHH">#REF!</definedName>
    <definedName name="htrhrt" localSheetId="0" hidden="1">{"'Sheet1'!$L$16"}</definedName>
    <definedName name="htrhrt" hidden="1">{"'Sheet1'!$L$16"}</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LKL">#REF!</definedName>
    <definedName name="PMS" localSheetId="0" hidden="1">{"'Sheet1'!$L$16"}</definedName>
    <definedName name="PMS" hidden="1">{"'Sheet1'!$L$16"}</definedName>
    <definedName name="PRICE">#REF!</definedName>
    <definedName name="PRICE1">#REF!</definedName>
    <definedName name="_xlnm.Print_Area" localSheetId="1">'PL đầu tư'!$A$1:$N$2</definedName>
    <definedName name="_xlnm.Print_Area" localSheetId="0">'PL II 2022'!$A$1:$M$12</definedName>
    <definedName name="_xlnm.Print_Titles" localSheetId="1">'PL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PCP" localSheetId="0" hidden="1">{"'Sheet1'!$L$16"}</definedName>
    <definedName name="TPCP" hidden="1">{"'Sheet1'!$L$16"}</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thi">#REF!</definedName>
    <definedName name="ttronmk">#REF!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u" localSheetId="0" hidden="1">{"'Sheet1'!$L$16"}</definedName>
    <definedName name="u" hidden="1">{"'Sheet1'!$L$16"}</definedName>
    <definedName name="upnoc">#REF!</definedName>
    <definedName name="uu">#REF!</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0" i="35" l="1"/>
  <c r="S34" i="35"/>
  <c r="T34" i="35"/>
  <c r="U34" i="35"/>
  <c r="V34" i="35"/>
  <c r="W34" i="35"/>
  <c r="X34" i="35"/>
  <c r="Y34" i="35"/>
  <c r="R34" i="35"/>
  <c r="R10" i="35"/>
  <c r="J10" i="35"/>
  <c r="Y11" i="35"/>
  <c r="Y12" i="35"/>
  <c r="J11" i="35"/>
  <c r="K11" i="35"/>
  <c r="L11" i="35"/>
  <c r="M11" i="35"/>
  <c r="N11" i="35"/>
  <c r="O11" i="35"/>
  <c r="P11" i="35"/>
  <c r="Q11" i="35"/>
  <c r="R11" i="35"/>
  <c r="S11" i="35"/>
  <c r="T11" i="35"/>
  <c r="U11" i="35"/>
  <c r="V11" i="35"/>
  <c r="W11" i="35"/>
  <c r="X11" i="35"/>
  <c r="I11" i="35"/>
  <c r="X12" i="35"/>
  <c r="W12" i="35"/>
  <c r="J12" i="35"/>
  <c r="K12" i="35"/>
  <c r="L12" i="35"/>
  <c r="M12" i="35"/>
  <c r="N12" i="35"/>
  <c r="O12" i="35"/>
  <c r="P12" i="35"/>
  <c r="Q12" i="35"/>
  <c r="R12" i="35"/>
  <c r="S12" i="35"/>
  <c r="T12" i="35"/>
  <c r="U12" i="35"/>
  <c r="V12" i="35"/>
  <c r="I12" i="35"/>
  <c r="X22" i="35"/>
  <c r="J22" i="35"/>
  <c r="K22" i="35"/>
  <c r="L22" i="35"/>
  <c r="M22" i="35"/>
  <c r="N22" i="35"/>
  <c r="O22" i="35"/>
  <c r="P22" i="35"/>
  <c r="Q22" i="35"/>
  <c r="R22" i="35"/>
  <c r="S22" i="35"/>
  <c r="T22" i="35"/>
  <c r="U22" i="35"/>
  <c r="V22" i="35"/>
  <c r="W22" i="35"/>
  <c r="I23" i="35"/>
  <c r="I22" i="35" s="1"/>
  <c r="S35" i="35"/>
  <c r="T35" i="35"/>
  <c r="U35" i="35"/>
  <c r="V35" i="35"/>
  <c r="W35" i="35"/>
  <c r="X35" i="35"/>
  <c r="Y35" i="35"/>
  <c r="R35" i="35"/>
  <c r="U38" i="35" l="1"/>
  <c r="T13" i="35" l="1"/>
  <c r="V13" i="35"/>
  <c r="W13" i="35"/>
  <c r="T16" i="35"/>
  <c r="V16" i="35"/>
  <c r="W16" i="35"/>
  <c r="U24" i="35"/>
  <c r="U26" i="35"/>
  <c r="U27" i="35"/>
  <c r="U28" i="35"/>
  <c r="U29" i="35"/>
  <c r="U30" i="35"/>
  <c r="U31" i="35"/>
  <c r="U32" i="35"/>
  <c r="U33" i="35"/>
  <c r="V25" i="35"/>
  <c r="U25" i="35" s="1"/>
  <c r="U21" i="35"/>
  <c r="V20" i="35"/>
  <c r="U20" i="35" s="1"/>
  <c r="U14" i="35"/>
  <c r="U15" i="35"/>
  <c r="U17" i="35"/>
  <c r="U18" i="35"/>
  <c r="T23" i="35"/>
  <c r="W23" i="35"/>
  <c r="W36" i="35"/>
  <c r="U19" i="35" l="1"/>
  <c r="V23" i="35"/>
  <c r="U13" i="35"/>
  <c r="U16" i="35"/>
  <c r="U23" i="35" l="1"/>
  <c r="F9" i="39"/>
  <c r="D87" i="39"/>
  <c r="F86" i="39"/>
  <c r="F85" i="39"/>
  <c r="E84" i="39"/>
  <c r="F83" i="39"/>
  <c r="F82" i="39" s="1"/>
  <c r="E82" i="39"/>
  <c r="D82" i="39"/>
  <c r="F81" i="39"/>
  <c r="F80" i="39"/>
  <c r="D79" i="39"/>
  <c r="F79" i="39" s="1"/>
  <c r="D78" i="39"/>
  <c r="F78" i="39" s="1"/>
  <c r="E77" i="39"/>
  <c r="E75" i="39" s="1"/>
  <c r="D77" i="39"/>
  <c r="F76" i="39"/>
  <c r="E74" i="39"/>
  <c r="D74" i="39"/>
  <c r="D73" i="39"/>
  <c r="D72" i="39"/>
  <c r="D71" i="39"/>
  <c r="F71" i="39" s="1"/>
  <c r="D70" i="39"/>
  <c r="D67" i="39"/>
  <c r="F67" i="39" s="1"/>
  <c r="D66" i="39"/>
  <c r="D65" i="39"/>
  <c r="D64" i="39"/>
  <c r="F64" i="39" s="1"/>
  <c r="D63" i="39"/>
  <c r="F63" i="39" s="1"/>
  <c r="D62" i="39"/>
  <c r="F62" i="39" s="1"/>
  <c r="D61" i="39"/>
  <c r="D60" i="39"/>
  <c r="F60" i="39" s="1"/>
  <c r="D59" i="39"/>
  <c r="F59" i="39" s="1"/>
  <c r="D58" i="39"/>
  <c r="F58" i="39" s="1"/>
  <c r="D57" i="39"/>
  <c r="E56" i="39"/>
  <c r="D55" i="39"/>
  <c r="F55" i="39" s="1"/>
  <c r="E45" i="39"/>
  <c r="D54" i="39"/>
  <c r="D53" i="39"/>
  <c r="D52" i="39"/>
  <c r="D51" i="39"/>
  <c r="D50" i="39"/>
  <c r="D49" i="39"/>
  <c r="D48" i="39"/>
  <c r="D47" i="39"/>
  <c r="D46" i="39"/>
  <c r="D43" i="39"/>
  <c r="E42" i="39"/>
  <c r="D40" i="39"/>
  <c r="E39" i="39"/>
  <c r="D39" i="39"/>
  <c r="F37" i="39"/>
  <c r="F36" i="39"/>
  <c r="F35" i="39"/>
  <c r="F34" i="39"/>
  <c r="D32" i="39"/>
  <c r="D31" i="39"/>
  <c r="D30" i="39"/>
  <c r="E29" i="39"/>
  <c r="F28" i="39"/>
  <c r="F27" i="39"/>
  <c r="D26" i="39"/>
  <c r="F26" i="39" s="1"/>
  <c r="E25" i="39"/>
  <c r="F24" i="39"/>
  <c r="F23" i="39" s="1"/>
  <c r="E23" i="39"/>
  <c r="D23" i="39"/>
  <c r="F22" i="39"/>
  <c r="F21" i="39"/>
  <c r="F20" i="39"/>
  <c r="F19" i="39"/>
  <c r="F18" i="39"/>
  <c r="F17" i="39"/>
  <c r="F16" i="39"/>
  <c r="F15" i="39"/>
  <c r="F14" i="39"/>
  <c r="F13" i="39"/>
  <c r="F12" i="39"/>
  <c r="E11" i="39"/>
  <c r="D11" i="39"/>
  <c r="F10" i="39"/>
  <c r="E8" i="39"/>
  <c r="D8" i="39"/>
  <c r="E7" i="39" l="1"/>
  <c r="D84" i="39"/>
  <c r="F74" i="39"/>
  <c r="F31" i="39"/>
  <c r="E38" i="39"/>
  <c r="E33" i="39" s="1"/>
  <c r="F30" i="39"/>
  <c r="F66" i="39"/>
  <c r="F73" i="39"/>
  <c r="F87" i="39"/>
  <c r="F72" i="39"/>
  <c r="D75" i="39"/>
  <c r="F32" i="39"/>
  <c r="D42" i="39"/>
  <c r="F43" i="39"/>
  <c r="D56" i="39"/>
  <c r="F57" i="39"/>
  <c r="F61" i="39"/>
  <c r="F65" i="39"/>
  <c r="F25" i="39"/>
  <c r="D25" i="39"/>
  <c r="F47" i="39"/>
  <c r="F11" i="39"/>
  <c r="F8" i="39"/>
  <c r="F39" i="39"/>
  <c r="D38" i="39"/>
  <c r="D33" i="39" s="1"/>
  <c r="F40" i="39"/>
  <c r="E44" i="39"/>
  <c r="F49" i="39"/>
  <c r="F53" i="39"/>
  <c r="F77" i="39"/>
  <c r="D45" i="39"/>
  <c r="F46" i="39"/>
  <c r="F50" i="39"/>
  <c r="F54" i="39"/>
  <c r="F70" i="39"/>
  <c r="D68" i="39"/>
  <c r="F51" i="39"/>
  <c r="F48" i="39"/>
  <c r="F52" i="39"/>
  <c r="E68" i="39"/>
  <c r="D29" i="39"/>
  <c r="F75" i="39" l="1"/>
  <c r="F42" i="39"/>
  <c r="F84" i="39"/>
  <c r="E41" i="39"/>
  <c r="E6" i="39" s="1"/>
  <c r="D7" i="39"/>
  <c r="D44" i="39"/>
  <c r="D41" i="39" s="1"/>
  <c r="F29" i="39"/>
  <c r="F7" i="39" s="1"/>
  <c r="F56" i="39"/>
  <c r="F45" i="39"/>
  <c r="F68" i="39"/>
  <c r="F38" i="39"/>
  <c r="F33" i="39" s="1"/>
  <c r="D6" i="39" l="1"/>
  <c r="F44" i="39"/>
  <c r="F41" i="39" l="1"/>
  <c r="F6" i="39" s="1"/>
  <c r="X28" i="35"/>
  <c r="X29" i="35"/>
  <c r="X30" i="35"/>
  <c r="X31" i="35"/>
  <c r="X32" i="35"/>
  <c r="X33" i="35"/>
  <c r="X27" i="35"/>
  <c r="V42" i="35"/>
  <c r="W42" i="35"/>
  <c r="U39" i="35"/>
  <c r="U40" i="35"/>
  <c r="U41" i="35"/>
  <c r="U43" i="35"/>
  <c r="U44" i="35"/>
  <c r="U45" i="35"/>
  <c r="U46" i="35"/>
  <c r="U47" i="35"/>
  <c r="U48" i="35"/>
  <c r="U49" i="35"/>
  <c r="U50" i="35"/>
  <c r="U51" i="35"/>
  <c r="U52" i="35"/>
  <c r="U37" i="35"/>
  <c r="U42" i="35" l="1"/>
  <c r="F24" i="38" l="1"/>
  <c r="G24" i="38"/>
  <c r="H64" i="38"/>
  <c r="S26" i="35"/>
  <c r="S23" i="35"/>
  <c r="S19" i="35"/>
  <c r="S18" i="35"/>
  <c r="S16" i="35" s="1"/>
  <c r="G82" i="38"/>
  <c r="G47" i="38"/>
  <c r="G23" i="38"/>
  <c r="G21" i="38"/>
  <c r="H21" i="38" s="1"/>
  <c r="G20" i="38"/>
  <c r="H20" i="38" s="1"/>
  <c r="G19" i="38"/>
  <c r="H19" i="38" s="1"/>
  <c r="G17" i="38"/>
  <c r="G15" i="38"/>
  <c r="H8" i="38"/>
  <c r="T37" i="35" s="1"/>
  <c r="H111" i="38"/>
  <c r="H110" i="38"/>
  <c r="H109" i="38"/>
  <c r="H108" i="38"/>
  <c r="H107" i="38"/>
  <c r="H106" i="38"/>
  <c r="H105" i="38"/>
  <c r="H104" i="38"/>
  <c r="H103" i="38"/>
  <c r="H102" i="38"/>
  <c r="H101" i="38"/>
  <c r="H100" i="38"/>
  <c r="H99" i="38"/>
  <c r="H98" i="38"/>
  <c r="H97" i="38"/>
  <c r="H96" i="38"/>
  <c r="H95" i="38"/>
  <c r="H94" i="38"/>
  <c r="H93" i="38"/>
  <c r="H92" i="38"/>
  <c r="G91" i="38"/>
  <c r="G90" i="38" s="1"/>
  <c r="F91" i="38"/>
  <c r="F90" i="38" s="1"/>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3" i="38"/>
  <c r="H62" i="38"/>
  <c r="H61" i="38"/>
  <c r="H60" i="38"/>
  <c r="H59" i="38"/>
  <c r="H58" i="38"/>
  <c r="H57" i="38"/>
  <c r="H56" i="38"/>
  <c r="H55" i="38"/>
  <c r="H54" i="38"/>
  <c r="H53" i="38"/>
  <c r="H52" i="38"/>
  <c r="H51" i="38"/>
  <c r="F50" i="38"/>
  <c r="F49" i="38" s="1"/>
  <c r="F48" i="38" s="1"/>
  <c r="H47" i="38"/>
  <c r="H46" i="38" s="1"/>
  <c r="F46" i="38"/>
  <c r="H45" i="38"/>
  <c r="H44" i="38"/>
  <c r="H43" i="38"/>
  <c r="H42" i="38"/>
  <c r="H41" i="38"/>
  <c r="H40" i="38"/>
  <c r="H39" i="38"/>
  <c r="H38" i="38"/>
  <c r="H37" i="38"/>
  <c r="G36" i="38"/>
  <c r="G35" i="38" s="1"/>
  <c r="F36" i="38"/>
  <c r="F35" i="38" s="1"/>
  <c r="H34" i="38"/>
  <c r="H33" i="38"/>
  <c r="T51" i="35" s="1"/>
  <c r="R51" i="35" s="1"/>
  <c r="X51" i="35" s="1"/>
  <c r="H32" i="38"/>
  <c r="T50" i="35" s="1"/>
  <c r="R50" i="35" s="1"/>
  <c r="X50" i="35" s="1"/>
  <c r="H31" i="38"/>
  <c r="T49" i="35" s="1"/>
  <c r="R49" i="35" s="1"/>
  <c r="X49" i="35" s="1"/>
  <c r="H30" i="38"/>
  <c r="T48" i="35" s="1"/>
  <c r="R48" i="35" s="1"/>
  <c r="X48" i="35" s="1"/>
  <c r="H29" i="38"/>
  <c r="T47" i="35" s="1"/>
  <c r="R47" i="35" s="1"/>
  <c r="X47" i="35" s="1"/>
  <c r="H28" i="38"/>
  <c r="T46" i="35" s="1"/>
  <c r="R46" i="35" s="1"/>
  <c r="X46" i="35" s="1"/>
  <c r="H27" i="38"/>
  <c r="T45" i="35" s="1"/>
  <c r="R45" i="35" s="1"/>
  <c r="X45" i="35" s="1"/>
  <c r="H26" i="38"/>
  <c r="T44" i="35" s="1"/>
  <c r="R44" i="35" s="1"/>
  <c r="X44" i="35" s="1"/>
  <c r="H25" i="38"/>
  <c r="T43" i="35" s="1"/>
  <c r="H23" i="38"/>
  <c r="H22" i="38"/>
  <c r="H18" i="38"/>
  <c r="H17" i="38"/>
  <c r="H16" i="38"/>
  <c r="H14" i="38"/>
  <c r="F13" i="38"/>
  <c r="H12" i="38"/>
  <c r="T41" i="35" s="1"/>
  <c r="R41" i="35" s="1"/>
  <c r="X41" i="35" s="1"/>
  <c r="H11" i="38"/>
  <c r="T40" i="35" s="1"/>
  <c r="G10" i="38"/>
  <c r="F10" i="38"/>
  <c r="H9" i="38"/>
  <c r="T38" i="35" s="1"/>
  <c r="R38" i="35" s="1"/>
  <c r="G7" i="38"/>
  <c r="G6" i="38" s="1"/>
  <c r="F7" i="38"/>
  <c r="F6" i="38" s="1"/>
  <c r="T36" i="35" l="1"/>
  <c r="R36" i="35" s="1"/>
  <c r="R40" i="35"/>
  <c r="X40" i="35" s="1"/>
  <c r="T39" i="35"/>
  <c r="H24" i="38"/>
  <c r="H50" i="38"/>
  <c r="R43" i="35"/>
  <c r="X43" i="35" s="1"/>
  <c r="T52" i="35"/>
  <c r="R52" i="35" s="1"/>
  <c r="X52" i="35" s="1"/>
  <c r="R37" i="35"/>
  <c r="X37" i="35" s="1"/>
  <c r="G46" i="38"/>
  <c r="G50" i="38"/>
  <c r="G49" i="38" s="1"/>
  <c r="G48" i="38" s="1"/>
  <c r="H49" i="38"/>
  <c r="H7" i="38"/>
  <c r="H6" i="38" s="1"/>
  <c r="H10" i="38"/>
  <c r="F5" i="38"/>
  <c r="F4" i="38" s="1"/>
  <c r="H91" i="38"/>
  <c r="G13" i="38"/>
  <c r="H36" i="38"/>
  <c r="H15" i="38"/>
  <c r="T42" i="35" l="1"/>
  <c r="R42" i="35" s="1"/>
  <c r="X42" i="35" s="1"/>
  <c r="R39" i="35"/>
  <c r="X39" i="35" s="1"/>
  <c r="H90" i="38"/>
  <c r="H13" i="38"/>
  <c r="H48" i="38"/>
  <c r="H35" i="38"/>
  <c r="G5" i="38"/>
  <c r="G4" i="38" s="1"/>
  <c r="H5" i="38"/>
  <c r="H4" i="38" l="1"/>
  <c r="I4" i="38" s="1"/>
  <c r="X24" i="35" l="1"/>
  <c r="X25" i="35" l="1"/>
  <c r="X17" i="35" l="1"/>
  <c r="X20" i="35"/>
  <c r="X21" i="35"/>
  <c r="T19" i="35"/>
  <c r="V19" i="35"/>
  <c r="W19" i="35"/>
  <c r="R19" i="35"/>
  <c r="X19" i="35" s="1"/>
  <c r="W10" i="35" l="1"/>
  <c r="Q33" i="35"/>
  <c r="N33" i="35"/>
  <c r="M33" i="35"/>
  <c r="K33" i="35"/>
  <c r="J33" i="35"/>
  <c r="I33" i="35"/>
  <c r="Q32" i="35"/>
  <c r="N32" i="35"/>
  <c r="M32" i="35"/>
  <c r="L32" i="35"/>
  <c r="K32" i="35"/>
  <c r="J32" i="35"/>
  <c r="I32" i="35"/>
  <c r="Q31" i="35"/>
  <c r="N31" i="35"/>
  <c r="M31" i="35"/>
  <c r="L31" i="35"/>
  <c r="K31" i="35"/>
  <c r="J31" i="35"/>
  <c r="I31" i="35"/>
  <c r="Q30" i="35"/>
  <c r="N30" i="35"/>
  <c r="M30" i="35"/>
  <c r="L30" i="35"/>
  <c r="K30" i="35"/>
  <c r="J30" i="35"/>
  <c r="I30" i="35"/>
  <c r="Q29" i="35"/>
  <c r="N29" i="35"/>
  <c r="M29" i="35"/>
  <c r="K29" i="35"/>
  <c r="J29" i="35"/>
  <c r="I29" i="35"/>
  <c r="Q28" i="35"/>
  <c r="N28" i="35"/>
  <c r="M28" i="35"/>
  <c r="L28" i="35"/>
  <c r="K28" i="35"/>
  <c r="J28" i="35"/>
  <c r="I28" i="35"/>
  <c r="Q27" i="35"/>
  <c r="N27" i="35"/>
  <c r="M27" i="35"/>
  <c r="L27" i="35"/>
  <c r="K27" i="35"/>
  <c r="J27" i="35"/>
  <c r="I27" i="35"/>
  <c r="R26" i="35"/>
  <c r="P26" i="35"/>
  <c r="O26" i="35"/>
  <c r="Q25" i="35"/>
  <c r="Q24" i="35"/>
  <c r="R23" i="35"/>
  <c r="X23" i="35" s="1"/>
  <c r="P23" i="35"/>
  <c r="O23" i="35"/>
  <c r="N23" i="35"/>
  <c r="M23" i="35"/>
  <c r="L23" i="35"/>
  <c r="K23" i="35"/>
  <c r="J23" i="35"/>
  <c r="Q21" i="35"/>
  <c r="Q20" i="35"/>
  <c r="P19" i="35"/>
  <c r="O19" i="35"/>
  <c r="N19" i="35"/>
  <c r="M19" i="35"/>
  <c r="L19" i="35"/>
  <c r="K19" i="35"/>
  <c r="J19" i="35"/>
  <c r="I19" i="35"/>
  <c r="R18" i="35"/>
  <c r="Q17" i="35"/>
  <c r="P16" i="35"/>
  <c r="O16" i="35"/>
  <c r="N16" i="35"/>
  <c r="M16" i="35"/>
  <c r="L16" i="35"/>
  <c r="K16" i="35"/>
  <c r="J16" i="35"/>
  <c r="I16" i="35"/>
  <c r="R15" i="35"/>
  <c r="S15" i="35" s="1"/>
  <c r="R14" i="35"/>
  <c r="P13" i="35"/>
  <c r="O13" i="35"/>
  <c r="N13" i="35"/>
  <c r="M13" i="35"/>
  <c r="L13" i="35"/>
  <c r="K13" i="35"/>
  <c r="J13" i="35"/>
  <c r="I13" i="35"/>
  <c r="X14" i="35" l="1"/>
  <c r="S14" i="35"/>
  <c r="S13" i="35" s="1"/>
  <c r="T10" i="35"/>
  <c r="R16" i="35"/>
  <c r="X16" i="35" s="1"/>
  <c r="X18" i="35"/>
  <c r="Q15" i="35"/>
  <c r="X15" i="35"/>
  <c r="J26" i="35"/>
  <c r="R13" i="35"/>
  <c r="Q23" i="35"/>
  <c r="I26" i="35"/>
  <c r="Q19" i="35"/>
  <c r="N26" i="35"/>
  <c r="Q26" i="35"/>
  <c r="M26" i="35"/>
  <c r="Q14" i="35"/>
  <c r="K26" i="35"/>
  <c r="L26" i="35"/>
  <c r="Q18" i="35"/>
  <c r="Q16" i="35" s="1"/>
  <c r="S10" i="35" l="1"/>
  <c r="Q13" i="35"/>
  <c r="X13" i="35"/>
  <c r="M10" i="35"/>
  <c r="P10" i="35"/>
  <c r="N10" i="35"/>
  <c r="L10" i="35"/>
  <c r="I10" i="35"/>
  <c r="K10" i="35"/>
  <c r="O10" i="35"/>
  <c r="Q10" i="35" l="1"/>
  <c r="G9" i="29"/>
  <c r="A3" i="29" l="1"/>
  <c r="I12" i="29" l="1"/>
  <c r="H12" i="29" s="1"/>
  <c r="D12" i="29"/>
  <c r="C12" i="29" s="1"/>
  <c r="I11" i="29"/>
  <c r="H11" i="29" s="1"/>
  <c r="D11" i="29"/>
  <c r="C11" i="29" s="1"/>
  <c r="I10" i="29"/>
  <c r="H10" i="29" s="1"/>
  <c r="D10" i="29"/>
  <c r="C10" i="29" s="1"/>
  <c r="L9" i="29"/>
  <c r="K9" i="29"/>
  <c r="J9" i="29"/>
  <c r="F9" i="29"/>
  <c r="E9" i="29"/>
  <c r="I9" i="29" l="1"/>
  <c r="D9" i="29"/>
  <c r="C9" i="29"/>
  <c r="H9" i="29"/>
  <c r="U36" i="35" l="1"/>
  <c r="X36" i="35" s="1"/>
  <c r="X38" i="35"/>
  <c r="V36" i="35"/>
  <c r="V10" i="35" s="1"/>
  <c r="U10" i="35" l="1"/>
</calcChain>
</file>

<file path=xl/sharedStrings.xml><?xml version="1.0" encoding="utf-8"?>
<sst xmlns="http://schemas.openxmlformats.org/spreadsheetml/2006/main" count="845" uniqueCount="502">
  <si>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</si>
  <si>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</si>
  <si>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</si>
  <si>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</si>
  <si>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</si>
  <si>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</si>
  <si>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</si>
  <si>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</si>
  <si>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</si>
  <si>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</si>
  <si>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</si>
  <si>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</si>
  <si>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</si>
  <si>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</si>
  <si>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</si>
  <si>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</si>
  <si>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</si>
  <si>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</si>
  <si>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</si>
  <si>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</si>
  <si>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</si>
  <si>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</si>
  <si>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</si>
  <si>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</si>
  <si>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</si>
  <si>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</si>
  <si>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</si>
  <si>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</si>
  <si>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</si>
  <si>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</si>
  <si>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</si>
  <si>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</si>
  <si>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</si>
  <si>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</si>
  <si>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</si>
  <si>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</si>
  <si>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</si>
  <si>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</si>
  <si>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</si>
  <si>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</si>
  <si>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</si>
  <si>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</si>
  <si>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</si>
  <si>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</si>
  <si>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</si>
  <si>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</si>
  <si>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</si>
  <si>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</si>
  <si>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</si>
  <si>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</si>
  <si>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</si>
  <si>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</si>
  <si>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</si>
  <si>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</si>
  <si>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</si>
  <si>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</si>
  <si>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</si>
  <si>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</si>
  <si>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</si>
  <si>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</si>
  <si>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</si>
  <si>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</si>
  <si>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</si>
  <si>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</si>
  <si>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</si>
  <si>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</si>
  <si>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</si>
  <si>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</si>
  <si>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</si>
  <si>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</si>
  <si>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Danh mục dự án/công trình</t>
  </si>
  <si>
    <t>Chủ đầu tư</t>
  </si>
  <si>
    <t xml:space="preserve">Chương trình mục tiêu quốc gia phát triển kinh tế - xã hội vùng đồng bào dân tộc thiểu số và miền núi </t>
  </si>
  <si>
    <t>1.1</t>
  </si>
  <si>
    <t xml:space="preserve">Xã Đăk Rơ Ông </t>
  </si>
  <si>
    <t>1.2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</si>
  <si>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</si>
  <si>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</si>
  <si>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</si>
  <si>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</si>
  <si>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</si>
  <si>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</si>
  <si>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</si>
  <si>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</si>
  <si>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</si>
  <si>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</si>
  <si>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</si>
  <si>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</si>
  <si>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</si>
  <si>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</si>
  <si>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</si>
  <si>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</si>
  <si>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</si>
  <si>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</si>
  <si>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</si>
  <si>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</si>
  <si>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</si>
  <si>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</si>
  <si>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</si>
  <si>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</si>
  <si>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</si>
  <si>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</si>
  <si>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</si>
  <si>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</si>
  <si>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</si>
  <si>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</si>
  <si>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</si>
  <si>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</si>
  <si>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</si>
  <si>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</si>
  <si>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</si>
  <si>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</si>
  <si>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</si>
  <si>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xã Đăk Rơ Ông</t>
  </si>
  <si>
    <t>19</t>
  </si>
  <si>
    <t>xã Ngọk Lây</t>
  </si>
  <si>
    <t>xã Tu Mơ Rông</t>
  </si>
  <si>
    <t>Ban quản lý thực hiện các Chương trình MTQG xã Đăk Hà</t>
  </si>
  <si>
    <t>xã Đăk Hà</t>
  </si>
  <si>
    <t xml:space="preserve"> xã Ngọk Yêu</t>
  </si>
  <si>
    <t>xã Tê Xăng</t>
  </si>
  <si>
    <t>xã Măng Ri</t>
  </si>
  <si>
    <t>xã Đăk Tờ Kan</t>
  </si>
  <si>
    <t>xã Đăk Sao</t>
  </si>
  <si>
    <t>xã Đăk Na</t>
  </si>
  <si>
    <t xml:space="preserve"> xã Văn Xuôi  </t>
  </si>
  <si>
    <t>Giá trị vốn giải ngân</t>
  </si>
  <si>
    <t>Tỷ lệ giải ngân</t>
  </si>
  <si>
    <t>Trong đó: Vốn sự nghiệp</t>
  </si>
  <si>
    <t>A</t>
  </si>
  <si>
    <t>B</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</si>
  <si>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</si>
  <si>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</si>
  <si>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</si>
  <si>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</si>
  <si>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</si>
  <si>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</si>
  <si>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</si>
  <si>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</si>
  <si>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</si>
  <si>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</si>
  <si>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</si>
  <si>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</si>
  <si>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</si>
  <si>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</si>
  <si>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</si>
  <si>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</si>
  <si>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</si>
  <si>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</si>
  <si>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</si>
  <si>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</si>
  <si>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280, 292</t>
  </si>
  <si>
    <t>Dự án chuyển tiếp</t>
  </si>
  <si>
    <t>280, 311</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</si>
  <si>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</si>
  <si>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</si>
  <si>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</si>
  <si>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</si>
  <si>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</si>
  <si>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</si>
  <si>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</si>
  <si>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</si>
  <si>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</si>
  <si>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</si>
  <si>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</si>
  <si>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</si>
  <si>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</si>
  <si>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</si>
  <si>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</si>
  <si>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</si>
  <si>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</si>
  <si>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</si>
  <si>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</si>
  <si>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</si>
  <si>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</si>
  <si>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</si>
  <si>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</si>
  <si>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</si>
  <si>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</si>
  <si>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</si>
  <si>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</si>
  <si>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</si>
  <si>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</si>
  <si>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</si>
  <si>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</si>
  <si>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</si>
  <si>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</si>
  <si>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</si>
  <si>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</si>
  <si>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</si>
  <si>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</si>
  <si>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</si>
  <si>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</si>
  <si>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</si>
  <si>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</si>
  <si>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</si>
  <si>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</si>
  <si>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</si>
  <si>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Kế hoạch 2023 vốn NSTW</t>
  </si>
  <si>
    <t>Dự án 2: Đa dạng hóa sinh kế, phát triển mô hình giảm nghèo</t>
  </si>
  <si>
    <t>Trung tâm dịch vụ Nông nghiệp huyện</t>
  </si>
  <si>
    <t>Dự án 4: Phát triển giáo dục nghề nghiệp, việc làm bền vững</t>
  </si>
  <si>
    <t>Dự án 7: Nâng cao năng lực và giám sát, đánh giá Chương trình</t>
  </si>
  <si>
    <t>THỰC HIỆN KẾ HOẠCH VỐN ĐÂU TƯ PHÁT TRIỂN NĂM 2023 THỰC HIỆN CHƯƠNG TRÌNH MỤC TIÊU QUỐC GIA TRÊN ĐỊA BÀN HUYỆN TU MƠ RÔNG (VỐN ĐẦU TƯ)</t>
  </si>
  <si>
    <t>Kế hoạch vốn giao năm 2023</t>
  </si>
  <si>
    <t>VIII</t>
  </si>
  <si>
    <t>Tiểu dự án 1</t>
  </si>
  <si>
    <t>Tiểu dự án 2</t>
  </si>
  <si>
    <t xml:space="preserve">                                                                                                                                                                                                                                                                                                                                     Phụ lục 2</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</si>
  <si>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</si>
  <si>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</si>
  <si>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</si>
  <si>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</si>
  <si>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</si>
  <si>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</si>
  <si>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</si>
  <si>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</si>
  <si>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</si>
  <si>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</si>
  <si>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</si>
  <si>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</si>
  <si>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</si>
  <si>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</si>
  <si>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</si>
  <si>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</si>
  <si>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</si>
  <si>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</si>
  <si>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</si>
  <si>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</si>
  <si>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</si>
  <si>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</si>
  <si>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</si>
  <si>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</si>
  <si>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</si>
  <si>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</si>
  <si>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</si>
  <si>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</si>
  <si>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</si>
  <si>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</si>
  <si>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</si>
  <si>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</si>
  <si>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</si>
  <si>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</si>
  <si>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</si>
  <si>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</si>
  <si>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</si>
  <si>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</si>
  <si>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</si>
  <si>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</si>
  <si>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</si>
  <si>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</si>
  <si>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</si>
  <si>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</si>
  <si>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</si>
  <si>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</si>
  <si>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</si>
  <si>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</si>
  <si>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</si>
  <si>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</si>
  <si>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</si>
  <si>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</si>
  <si>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</si>
  <si>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</si>
  <si>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</si>
  <si>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</si>
  <si>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</si>
  <si>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</si>
  <si>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</si>
  <si>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</si>
  <si>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</si>
  <si>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</si>
  <si>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</si>
  <si>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</si>
  <si>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</si>
  <si>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</si>
  <si>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</si>
  <si>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</si>
  <si>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</si>
  <si>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</si>
  <si>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</si>
  <si>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</si>
  <si>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</si>
  <si>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</si>
  <si>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</si>
  <si>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</si>
  <si>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</si>
  <si>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</si>
  <si>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</si>
  <si>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</si>
  <si>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</si>
  <si>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</si>
  <si>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</si>
  <si>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</si>
  <si>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</si>
  <si>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</si>
  <si>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</si>
  <si>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</si>
  <si>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</si>
  <si>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</si>
  <si>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</si>
  <si>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</si>
  <si>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</si>
  <si>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</si>
  <si>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</si>
  <si>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</si>
  <si>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</si>
  <si>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</si>
  <si>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</si>
  <si>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</si>
  <si>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</si>
  <si>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</si>
  <si>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</si>
  <si>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</si>
  <si>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</si>
  <si>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</si>
  <si>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</si>
  <si>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</si>
  <si>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</si>
  <si>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</si>
  <si>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</si>
  <si>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</si>
  <si>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</si>
  <si>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</si>
  <si>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</si>
  <si>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</si>
  <si>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</si>
  <si>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</si>
  <si>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</si>
  <si>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</si>
  <si>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</si>
  <si>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</si>
  <si>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</si>
  <si>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</si>
  <si>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</si>
  <si>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</si>
  <si>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</si>
  <si>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</si>
  <si>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</si>
  <si>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</si>
  <si>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</si>
  <si>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</si>
  <si>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</si>
  <si>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</si>
  <si>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</si>
  <si>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</si>
  <si>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</si>
  <si>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</si>
  <si>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</si>
  <si>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</si>
  <si>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</si>
  <si>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</si>
  <si>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</si>
  <si>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</si>
  <si>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</si>
  <si>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</si>
  <si>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</si>
  <si>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</si>
  <si>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</si>
  <si>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</si>
  <si>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</si>
  <si>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</si>
  <si>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</si>
  <si>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</si>
  <si>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</si>
  <si>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</si>
  <si>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</si>
  <si>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</si>
  <si>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</si>
  <si>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</si>
  <si>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</si>
  <si>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</si>
  <si>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</si>
  <si>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</si>
  <si>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</si>
  <si>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</si>
  <si>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</si>
  <si>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</si>
  <si>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</si>
  <si>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</si>
  <si>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</si>
  <si>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</si>
  <si>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</si>
  <si>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</si>
  <si>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</si>
  <si>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</si>
  <si>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</si>
  <si>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</si>
  <si>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Ban quản lý thực hiện các Chương trình MTQG xã Đăk Tờ Kan</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</si>
  <si>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</si>
  <si>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</si>
  <si>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</si>
  <si>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</si>
  <si>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</si>
  <si>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</si>
  <si>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</si>
  <si>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</si>
  <si>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</si>
  <si>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</si>
  <si>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</si>
  <si>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</si>
  <si>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</si>
  <si>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</si>
  <si>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</si>
  <si>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</si>
  <si>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</si>
  <si>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</si>
  <si>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</si>
  <si>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</si>
  <si>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</si>
  <si>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</si>
  <si>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</si>
  <si>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</si>
  <si>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</si>
  <si>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</si>
  <si>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</si>
  <si>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</si>
  <si>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</si>
  <si>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</si>
  <si>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</si>
  <si>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</si>
  <si>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</si>
  <si>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</si>
  <si>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</si>
  <si>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</si>
  <si>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</si>
  <si>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</si>
  <si>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</si>
  <si>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</si>
  <si>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</si>
  <si>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</si>
  <si>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</si>
  <si>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</si>
  <si>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</si>
  <si>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</si>
  <si>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</si>
  <si>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</si>
  <si>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</si>
  <si>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</si>
  <si>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</si>
  <si>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</si>
  <si>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</si>
  <si>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</si>
  <si>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</si>
  <si>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</si>
  <si>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</si>
  <si>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</si>
  <si>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</si>
  <si>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</si>
  <si>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</si>
  <si>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</si>
  <si>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</si>
  <si>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</si>
  <si>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</si>
  <si>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</si>
  <si>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</si>
  <si>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</si>
  <si>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Nguồn chuyển nguồn năm 2022 sang năm 2023 tiếp tục thực hiện</t>
  </si>
  <si>
    <t>4.8</t>
  </si>
  <si>
    <t>4.9</t>
  </si>
  <si>
    <t>4.10</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</si>
  <si>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</si>
  <si>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</si>
  <si>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</si>
  <si>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</si>
  <si>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</si>
  <si>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</si>
  <si>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</si>
  <si>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</si>
  <si>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</si>
  <si>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</si>
  <si>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</si>
  <si>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</si>
  <si>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</si>
  <si>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</si>
  <si>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</si>
  <si>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</si>
  <si>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</si>
  <si>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</si>
  <si>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</si>
  <si>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</si>
  <si>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</si>
  <si>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</si>
  <si>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</si>
  <si>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</si>
  <si>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</si>
  <si>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</si>
  <si>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</si>
  <si>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</si>
  <si>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</si>
  <si>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</si>
  <si>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</si>
  <si>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</si>
  <si>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</si>
  <si>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</si>
  <si>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</si>
  <si>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</si>
  <si>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</si>
  <si>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</si>
  <si>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</si>
  <si>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</si>
  <si>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TỔNG (A) + (B)</t>
  </si>
  <si>
    <t>Thực hiện giải ngân đến ngày 20/04/2023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</si>
</sst>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quot;£&quot;#,##0;\-&quot;£&quot;#,##0"/>
    <numFmt numFmtId="173" formatCode="&quot;£&quot;#,##0;[Red]\-&quot;£&quot;#,##0"/>
    <numFmt numFmtId="174" formatCode="&quot;£&quot;#,##0.00;\-&quot;£&quot;#,##0.00"/>
    <numFmt numFmtId="175" formatCode="&quot;£&quot;#,##0.00;[Red]\-&quot;£&quot;#,##0.00"/>
    <numFmt numFmtId="176" formatCode="_-&quot;£&quot;* #,##0_-;\-&quot;£&quot;* #,##0_-;_-&quot;£&quot;* &quot;-&quot;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_-* #,##0.0_-;\-* #,##0.0_-;_-* &quot;-&quot;??_-;_-@_-"/>
  </numFmts>
  <fonts count="275">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b/>
      <sz val="13"/>
      <name val="Times New Roman"/>
      <family val="1"/>
    </font>
    <font>
      <sz val="11"/>
      <color rgb="FFFF0000"/>
      <name val="Times New Roman"/>
      <family val="1"/>
    </font>
    <font>
      <sz val="10"/>
      <color rgb="FFFF0000"/>
      <name val="Times New Roman"/>
      <family val="1"/>
    </font>
  </fonts>
  <fills count="7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6">
    <xf numFmtId="0" fontId="0" fillId="0" borderId="0"/>
    <xf numFmtId="0" fontId="7" fillId="0" borderId="0"/>
    <xf numFmtId="169" fontId="7" fillId="0" borderId="0" applyFont="0" applyFill="0" applyBorder="0" applyAlignment="0" applyProtection="0"/>
    <xf numFmtId="179"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7" fontId="12" fillId="0" borderId="12" applyFont="0" applyBorder="0"/>
    <xf numFmtId="177" fontId="13" fillId="0" borderId="0" applyProtection="0"/>
    <xf numFmtId="177" fontId="14" fillId="0" borderId="12" applyFont="0" applyBorder="0"/>
    <xf numFmtId="0" fontId="15" fillId="0" borderId="0"/>
    <xf numFmtId="180" fontId="16" fillId="0" borderId="0" applyFont="0" applyFill="0" applyBorder="0" applyAlignment="0" applyProtection="0"/>
    <xf numFmtId="0" fontId="17" fillId="0" borderId="0" applyFont="0" applyFill="0" applyBorder="0" applyAlignment="0" applyProtection="0"/>
    <xf numFmtId="181" fontId="4"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4" fontId="15"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185"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70" fontId="9" fillId="0" borderId="0" applyFont="0" applyFill="0" applyBorder="0" applyAlignment="0" applyProtection="0"/>
    <xf numFmtId="186" fontId="16" fillId="0" borderId="0" applyFont="0" applyFill="0" applyBorder="0" applyAlignment="0" applyProtection="0"/>
    <xf numFmtId="187" fontId="8"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8" fontId="9"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186" fontId="16" fillId="0" borderId="0" applyFont="0" applyFill="0" applyBorder="0" applyAlignment="0" applyProtection="0"/>
    <xf numFmtId="0" fontId="27" fillId="0" borderId="0"/>
    <xf numFmtId="166"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80" fontId="8" fillId="0" borderId="0" applyFon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7" fillId="0" borderId="0"/>
    <xf numFmtId="186"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91"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7" fillId="0" borderId="0"/>
    <xf numFmtId="0" fontId="27" fillId="0" borderId="0"/>
    <xf numFmtId="186" fontId="16" fillId="0" borderId="0" applyFont="0" applyFill="0" applyBorder="0" applyAlignment="0" applyProtection="0"/>
    <xf numFmtId="0" fontId="27" fillId="0" borderId="0"/>
    <xf numFmtId="0" fontId="27" fillId="0" borderId="0"/>
    <xf numFmtId="0" fontId="27" fillId="0" borderId="0"/>
    <xf numFmtId="187"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171" fontId="8"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70"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8"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71" fontId="8"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8"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170" fontId="8"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71" fontId="8"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70"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27" fillId="0" borderId="0"/>
    <xf numFmtId="20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0" fontId="8"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171" fontId="8" fillId="0" borderId="0" applyFont="0" applyFill="0" applyBorder="0" applyAlignment="0" applyProtection="0"/>
    <xf numFmtId="0" fontId="27" fillId="0" borderId="0"/>
    <xf numFmtId="191"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9" fontId="13" fillId="0" borderId="0" applyProtection="0"/>
    <xf numFmtId="187" fontId="13" fillId="0" borderId="0" applyProtection="0"/>
    <xf numFmtId="187" fontId="13" fillId="0" borderId="0" applyProtection="0"/>
    <xf numFmtId="0" fontId="10" fillId="0" borderId="0" applyProtection="0"/>
    <xf numFmtId="179" fontId="13" fillId="0" borderId="0" applyProtection="0"/>
    <xf numFmtId="187" fontId="13" fillId="0" borderId="0" applyProtection="0"/>
    <xf numFmtId="187" fontId="13" fillId="0" borderId="0" applyProtection="0"/>
    <xf numFmtId="0" fontId="10" fillId="0" borderId="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6" fontId="16" fillId="0" borderId="0" applyFont="0" applyFill="0" applyBorder="0" applyAlignment="0" applyProtection="0"/>
    <xf numFmtId="0" fontId="27" fillId="0" borderId="0"/>
    <xf numFmtId="166" fontId="16" fillId="0" borderId="0" applyFont="0" applyFill="0" applyBorder="0" applyAlignment="0" applyProtection="0"/>
    <xf numFmtId="213" fontId="32"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3" fontId="32" fillId="0" borderId="0" applyFont="0" applyFill="0" applyBorder="0" applyAlignment="0" applyProtection="0"/>
    <xf numFmtId="0" fontId="40" fillId="2" borderId="0"/>
    <xf numFmtId="0" fontId="40" fillId="2" borderId="0"/>
    <xf numFmtId="0" fontId="40" fillId="2" borderId="0"/>
    <xf numFmtId="213"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3"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3"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7"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6" fontId="55" fillId="0" borderId="0" applyFont="0" applyFill="0" applyBorder="0" applyAlignment="0" applyProtection="0"/>
    <xf numFmtId="0" fontId="56" fillId="0" borderId="0" applyFont="0" applyFill="0" applyBorder="0" applyAlignment="0" applyProtection="0"/>
    <xf numFmtId="174" fontId="57" fillId="0" borderId="0" applyFont="0" applyFill="0" applyBorder="0" applyAlignment="0" applyProtection="0"/>
    <xf numFmtId="208" fontId="55" fillId="0" borderId="0" applyFont="0" applyFill="0" applyBorder="0" applyAlignment="0" applyProtection="0"/>
    <xf numFmtId="0" fontId="56" fillId="0" borderId="0" applyFont="0" applyFill="0" applyBorder="0" applyAlignment="0" applyProtection="0"/>
    <xf numFmtId="217"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6" fontId="61" fillId="0" borderId="0" applyFont="0" applyFill="0" applyBorder="0" applyAlignment="0" applyProtection="0"/>
    <xf numFmtId="0" fontId="62" fillId="0" borderId="0" applyFont="0" applyFill="0" applyBorder="0" applyAlignment="0" applyProtection="0"/>
    <xf numFmtId="218" fontId="16" fillId="0" borderId="0" applyFont="0" applyFill="0" applyBorder="0" applyAlignment="0" applyProtection="0"/>
    <xf numFmtId="195" fontId="61" fillId="0" borderId="0" applyFont="0" applyFill="0" applyBorder="0" applyAlignment="0" applyProtection="0"/>
    <xf numFmtId="0" fontId="62" fillId="0" borderId="0" applyFont="0" applyFill="0" applyBorder="0" applyAlignment="0" applyProtection="0"/>
    <xf numFmtId="219"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20" fontId="30" fillId="0" borderId="0" applyFill="0" applyBorder="0" applyAlignment="0"/>
    <xf numFmtId="221" fontId="9"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4" fontId="16" fillId="0" borderId="0" applyFont="0" applyFill="0" applyBorder="0" applyAlignment="0" applyProtection="0"/>
    <xf numFmtId="0" fontId="75" fillId="23" borderId="16" applyNumberFormat="0" applyAlignment="0" applyProtection="0"/>
    <xf numFmtId="177" fontId="38" fillId="0" borderId="0" applyFont="0" applyFill="0" applyBorder="0" applyAlignment="0" applyProtection="0"/>
    <xf numFmtId="1" fontId="76" fillId="0" borderId="9" applyBorder="0"/>
    <xf numFmtId="0" fontId="77" fillId="0" borderId="2">
      <alignment horizontal="center"/>
    </xf>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167" fontId="4" fillId="0" borderId="0" applyFont="0" applyFill="0" applyBorder="0" applyAlignment="0" applyProtection="0"/>
    <xf numFmtId="167" fontId="79" fillId="0" borderId="0" applyFont="0" applyFill="0" applyBorder="0" applyAlignment="0" applyProtection="0"/>
    <xf numFmtId="170" fontId="54"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05"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37" fontId="13" fillId="0" borderId="0" applyProtection="0"/>
    <xf numFmtId="237" fontId="13" fillId="0" borderId="0" applyProtection="0"/>
    <xf numFmtId="205"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167" fontId="80" fillId="0" borderId="0" applyFont="0" applyFill="0" applyBorder="0" applyAlignment="0" applyProtection="0"/>
    <xf numFmtId="170" fontId="1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30" fontId="70"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8" fontId="81"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242" fontId="82" fillId="0" borderId="0" applyFont="0" applyFill="0" applyBorder="0" applyAlignment="0" applyProtection="0"/>
    <xf numFmtId="243" fontId="13"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9" fontId="80" fillId="0" borderId="0" applyFont="0" applyFill="0" applyBorder="0" applyAlignment="0" applyProtection="0"/>
    <xf numFmtId="179" fontId="80"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70"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79" fontId="80" fillId="0" borderId="0" applyFont="0" applyFill="0" applyBorder="0" applyAlignment="0" applyProtection="0"/>
    <xf numFmtId="245" fontId="80" fillId="0" borderId="0" applyFont="0" applyFill="0" applyBorder="0" applyAlignment="0" applyProtection="0"/>
    <xf numFmtId="169" fontId="80" fillId="0" borderId="0" applyFont="0" applyFill="0" applyBorder="0" applyAlignment="0" applyProtection="0"/>
    <xf numFmtId="246" fontId="80" fillId="0" borderId="0" applyFont="0" applyFill="0" applyBorder="0" applyAlignment="0" applyProtection="0"/>
    <xf numFmtId="170"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7" fontId="80"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247" fontId="80" fillId="0" borderId="0" applyFont="0" applyFill="0" applyBorder="0" applyAlignment="0" applyProtection="0"/>
    <xf numFmtId="247"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85"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80"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86" fillId="0" borderId="0" applyFont="0" applyFill="0" applyBorder="0" applyAlignment="0" applyProtection="0"/>
    <xf numFmtId="169" fontId="80" fillId="0" borderId="0" applyFont="0" applyFill="0" applyBorder="0" applyAlignment="0" applyProtection="0"/>
    <xf numFmtId="0"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36"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71" fontId="80" fillId="0" borderId="0" applyFont="0" applyFill="0" applyBorder="0" applyAlignment="0" applyProtection="0"/>
    <xf numFmtId="169" fontId="7" fillId="0" borderId="0" applyFont="0" applyFill="0" applyBorder="0" applyAlignment="0" applyProtection="0"/>
    <xf numFmtId="215" fontId="4" fillId="0" borderId="0" applyFont="0" applyFill="0" applyBorder="0" applyAlignment="0" applyProtection="0"/>
    <xf numFmtId="169" fontId="80" fillId="0" borderId="0" applyFont="0" applyFill="0" applyBorder="0" applyAlignment="0" applyProtection="0"/>
    <xf numFmtId="248" fontId="80" fillId="0" borderId="0" applyFont="0" applyFill="0" applyBorder="0" applyAlignment="0" applyProtection="0"/>
    <xf numFmtId="249" fontId="80" fillId="0" borderId="0" applyFont="0" applyFill="0" applyBorder="0" applyAlignment="0" applyProtection="0"/>
    <xf numFmtId="248" fontId="80" fillId="0" borderId="0" applyFont="0" applyFill="0" applyBorder="0" applyAlignment="0" applyProtection="0"/>
    <xf numFmtId="169" fontId="80" fillId="0" borderId="0" applyFont="0" applyFill="0" applyBorder="0" applyAlignment="0" applyProtection="0"/>
    <xf numFmtId="169" fontId="84" fillId="0" borderId="0" applyFont="0" applyFill="0" applyBorder="0" applyAlignment="0" applyProtection="0"/>
    <xf numFmtId="169" fontId="80" fillId="0" borderId="0" applyFont="0" applyFill="0" applyBorder="0" applyAlignment="0" applyProtection="0"/>
    <xf numFmtId="250" fontId="4" fillId="0" borderId="0" applyFont="0" applyFill="0" applyBorder="0" applyAlignment="0" applyProtection="0"/>
    <xf numFmtId="169" fontId="80" fillId="0" borderId="0" applyFont="0" applyFill="0" applyBorder="0" applyAlignment="0" applyProtection="0"/>
    <xf numFmtId="169" fontId="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6" fontId="4" fillId="0" borderId="0" applyFont="0" applyFill="0" applyBorder="0" applyAlignment="0" applyProtection="0"/>
    <xf numFmtId="168" fontId="13" fillId="0" borderId="0" applyFont="0" applyFill="0" applyBorder="0" applyAlignment="0" applyProtection="0"/>
    <xf numFmtId="169" fontId="85" fillId="0" borderId="0" applyFont="0" applyFill="0" applyBorder="0" applyAlignment="0" applyProtection="0"/>
    <xf numFmtId="0" fontId="80" fillId="0" borderId="0" applyFont="0" applyFill="0" applyBorder="0" applyAlignment="0" applyProtection="0"/>
    <xf numFmtId="178"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8" fontId="13" fillId="0" borderId="0" applyFont="0" applyFill="0" applyBorder="0" applyAlignment="0" applyProtection="0"/>
    <xf numFmtId="251" fontId="34" fillId="0" borderId="0" applyFont="0" applyFill="0" applyBorder="0" applyAlignment="0" applyProtection="0"/>
    <xf numFmtId="169" fontId="80" fillId="0" borderId="0" applyFont="0" applyFill="0" applyBorder="0" applyAlignment="0" applyProtection="0"/>
    <xf numFmtId="178"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7" fillId="0" borderId="0" applyFont="0" applyFill="0" applyBorder="0" applyAlignment="0" applyProtection="0"/>
    <xf numFmtId="169" fontId="80" fillId="0" borderId="0" applyFont="0" applyFill="0" applyBorder="0" applyAlignment="0" applyProtection="0"/>
    <xf numFmtId="251" fontId="34" fillId="0" borderId="0" applyFont="0" applyFill="0" applyBorder="0" applyAlignment="0" applyProtection="0"/>
    <xf numFmtId="252" fontId="13" fillId="0" borderId="0" applyProtection="0"/>
    <xf numFmtId="251" fontId="34" fillId="0" borderId="0" applyFont="0" applyFill="0" applyBorder="0" applyAlignment="0" applyProtection="0"/>
    <xf numFmtId="43" fontId="13" fillId="0" borderId="0" applyFont="0" applyFill="0" applyBorder="0" applyAlignment="0" applyProtection="0"/>
    <xf numFmtId="43"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3"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71" fontId="54" fillId="0" borderId="0" applyFont="0" applyFill="0" applyBorder="0" applyAlignment="0" applyProtection="0"/>
    <xf numFmtId="254" fontId="13"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4" fontId="13" fillId="0" borderId="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54" fontId="13" fillId="0" borderId="0" applyProtection="0"/>
    <xf numFmtId="169" fontId="8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0" fontId="3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55" fontId="83" fillId="0" borderId="0" applyFont="0" applyFill="0" applyBorder="0" applyAlignment="0" applyProtection="0"/>
    <xf numFmtId="169" fontId="4" fillId="0" borderId="0" applyFont="0" applyFill="0" applyBorder="0" applyAlignment="0" applyProtection="0"/>
    <xf numFmtId="256" fontId="83" fillId="0" borderId="0" applyFont="0" applyFill="0" applyBorder="0" applyAlignment="0" applyProtection="0"/>
    <xf numFmtId="169" fontId="4" fillId="0" borderId="0" applyFont="0" applyFill="0" applyBorder="0" applyAlignment="0" applyProtection="0"/>
    <xf numFmtId="194" fontId="80" fillId="0" borderId="0" applyFont="0" applyFill="0" applyBorder="0" applyAlignment="0" applyProtection="0"/>
    <xf numFmtId="194" fontId="80" fillId="0" borderId="0" applyFont="0" applyFill="0" applyBorder="0" applyAlignment="0" applyProtection="0"/>
    <xf numFmtId="171" fontId="80" fillId="0" borderId="0" applyFont="0" applyFill="0" applyBorder="0" applyAlignment="0" applyProtection="0"/>
    <xf numFmtId="254" fontId="13" fillId="0" borderId="0" applyProtection="0"/>
    <xf numFmtId="254" fontId="13"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4" fontId="80" fillId="0" borderId="0" applyFont="0" applyFill="0" applyBorder="0" applyAlignment="0" applyProtection="0"/>
    <xf numFmtId="169" fontId="80" fillId="0" borderId="0" applyFont="0" applyFill="0" applyBorder="0" applyAlignment="0" applyProtection="0"/>
    <xf numFmtId="194" fontId="4" fillId="0" borderId="0" applyFont="0" applyFill="0" applyBorder="0" applyAlignment="0" applyProtection="0"/>
    <xf numFmtId="169" fontId="80" fillId="0" borderId="0" applyFont="0" applyFill="0" applyBorder="0" applyAlignment="0" applyProtection="0"/>
    <xf numFmtId="194" fontId="4" fillId="0" borderId="0" applyFont="0" applyFill="0" applyBorder="0" applyAlignment="0" applyProtection="0"/>
    <xf numFmtId="171" fontId="4" fillId="0" borderId="0" applyFont="0" applyFill="0" applyBorder="0" applyAlignment="0" applyProtection="0"/>
    <xf numFmtId="171" fontId="13" fillId="0" borderId="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9" fillId="0" borderId="0" applyFont="0" applyFill="0" applyBorder="0" applyAlignment="0" applyProtection="0"/>
    <xf numFmtId="169" fontId="4" fillId="0" borderId="0" applyFont="0" applyFill="0" applyBorder="0" applyAlignment="0" applyProtection="0"/>
    <xf numFmtId="171" fontId="13" fillId="0" borderId="0" applyFont="0" applyFill="0" applyBorder="0" applyAlignment="0" applyProtection="0"/>
    <xf numFmtId="169" fontId="84" fillId="0" borderId="0" applyFont="0" applyFill="0" applyBorder="0" applyAlignment="0" applyProtection="0"/>
    <xf numFmtId="169" fontId="36"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94" fontId="9"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9" fillId="0" borderId="0" applyFont="0" applyFill="0" applyBorder="0" applyAlignment="0" applyProtection="0"/>
    <xf numFmtId="169" fontId="80" fillId="0" borderId="0" applyFont="0" applyFill="0" applyBorder="0" applyAlignment="0" applyProtection="0"/>
    <xf numFmtId="169" fontId="9"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80" fillId="0" borderId="0" applyFont="0" applyFill="0" applyBorder="0" applyAlignment="0" applyProtection="0"/>
    <xf numFmtId="230" fontId="80" fillId="0" borderId="0" applyFont="0" applyFill="0" applyBorder="0" applyAlignment="0" applyProtection="0"/>
    <xf numFmtId="230" fontId="80" fillId="0" borderId="0" applyFont="0" applyFill="0" applyBorder="0" applyAlignment="0" applyProtection="0"/>
    <xf numFmtId="169" fontId="84" fillId="0" borderId="0" applyFont="0" applyFill="0" applyBorder="0" applyAlignment="0" applyProtection="0"/>
    <xf numFmtId="177" fontId="80" fillId="0" borderId="0" applyFont="0" applyFill="0" applyBorder="0" applyAlignment="0" applyProtection="0"/>
    <xf numFmtId="169" fontId="80"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257"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3" fontId="90" fillId="0" borderId="0" applyFont="0" applyFill="0" applyBorder="0" applyAlignment="0" applyProtection="0"/>
    <xf numFmtId="258" fontId="91" fillId="0" borderId="0" applyFill="0" applyBorder="0" applyProtection="0"/>
    <xf numFmtId="259" fontId="81" fillId="0" borderId="0" applyFont="0" applyFill="0" applyBorder="0" applyAlignment="0" applyProtection="0"/>
    <xf numFmtId="260" fontId="36" fillId="0" borderId="0" applyFill="0" applyBorder="0" applyProtection="0"/>
    <xf numFmtId="260" fontId="36" fillId="0" borderId="5" applyFill="0" applyProtection="0"/>
    <xf numFmtId="260" fontId="36" fillId="0" borderId="17" applyFill="0" applyProtection="0"/>
    <xf numFmtId="261" fontId="65" fillId="0" borderId="0" applyFont="0" applyFill="0" applyBorder="0" applyAlignment="0" applyProtection="0"/>
    <xf numFmtId="262" fontId="92" fillId="0" borderId="0" applyFont="0" applyFill="0" applyBorder="0" applyAlignment="0" applyProtection="0"/>
    <xf numFmtId="263"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5" fontId="92" fillId="0" borderId="0" applyFont="0" applyFill="0" applyBorder="0" applyAlignment="0" applyProtection="0"/>
    <xf numFmtId="222" fontId="70"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66" fontId="82" fillId="0" borderId="0" applyFont="0" applyFill="0" applyBorder="0" applyAlignment="0" applyProtection="0"/>
    <xf numFmtId="267" fontId="13" fillId="0" borderId="0" applyFont="0" applyFill="0" applyBorder="0" applyAlignment="0" applyProtection="0"/>
    <xf numFmtId="268" fontId="82" fillId="0" borderId="0" applyFont="0" applyFill="0" applyBorder="0" applyAlignment="0" applyProtection="0"/>
    <xf numFmtId="269" fontId="82" fillId="0" borderId="0" applyFont="0" applyFill="0" applyBorder="0" applyAlignment="0" applyProtection="0"/>
    <xf numFmtId="270" fontId="13" fillId="0" borderId="0" applyFont="0" applyFill="0" applyBorder="0" applyAlignment="0" applyProtection="0"/>
    <xf numFmtId="271" fontId="82" fillId="0" borderId="0" applyFont="0" applyFill="0" applyBorder="0" applyAlignment="0" applyProtection="0"/>
    <xf numFmtId="272" fontId="82" fillId="0" borderId="0" applyFont="0" applyFill="0" applyBorder="0" applyAlignment="0" applyProtection="0"/>
    <xf numFmtId="273" fontId="13" fillId="0" borderId="0" applyFont="0" applyFill="0" applyBorder="0" applyAlignment="0" applyProtection="0"/>
    <xf numFmtId="274" fontId="82" fillId="0" borderId="0" applyFont="0" applyFill="0" applyBorder="0" applyAlignment="0" applyProtection="0"/>
    <xf numFmtId="168" fontId="80"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8" fontId="13" fillId="0" borderId="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169" fontId="84" fillId="0" borderId="0" applyFont="0" applyFill="0" applyBorder="0" applyAlignment="0" applyProtection="0"/>
    <xf numFmtId="3" fontId="93" fillId="0" borderId="6">
      <alignment horizontal="left" vertical="top" wrapText="1"/>
    </xf>
    <xf numFmtId="281" fontId="36" fillId="0" borderId="0" applyFill="0" applyBorder="0" applyProtection="0"/>
    <xf numFmtId="281" fontId="36" fillId="0" borderId="5" applyFill="0" applyProtection="0"/>
    <xf numFmtId="281" fontId="36" fillId="0" borderId="17" applyFill="0" applyProtection="0"/>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3" fontId="9" fillId="0" borderId="0"/>
    <xf numFmtId="284" fontId="15" fillId="0" borderId="1"/>
    <xf numFmtId="284" fontId="15" fillId="0" borderId="1"/>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applyProtection="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85" fontId="15" fillId="0" borderId="0"/>
    <xf numFmtId="170" fontId="94" fillId="0" borderId="0" applyFont="0" applyFill="0" applyBorder="0" applyAlignment="0" applyProtection="0"/>
    <xf numFmtId="171" fontId="94"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3" fontId="9" fillId="0" borderId="0" applyFont="0" applyBorder="0" applyAlignment="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96" fillId="0" borderId="0" applyNumberFormat="0" applyAlignment="0">
      <alignment horizontal="left"/>
    </xf>
    <xf numFmtId="0" fontId="97" fillId="0" borderId="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2"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3"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4"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164" fontId="123" fillId="27" borderId="1" applyNumberFormat="0" applyAlignment="0">
      <alignment horizontal="left" vertical="top"/>
    </xf>
    <xf numFmtId="164" fontId="123" fillId="27" borderId="1" applyNumberFormat="0" applyAlignment="0">
      <alignment horizontal="left" vertical="top"/>
    </xf>
    <xf numFmtId="295"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70" fontId="9" fillId="0" borderId="0" applyFont="0" applyFill="0" applyBorder="0" applyAlignment="0" applyProtection="0"/>
    <xf numFmtId="38" fontId="30"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96"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0"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80" fontId="132" fillId="0" borderId="10" applyNumberFormat="0" applyFont="0" applyFill="0" applyBorder="0">
      <alignment horizontal="center"/>
    </xf>
    <xf numFmtId="280"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0" fontId="133" fillId="0" borderId="23"/>
    <xf numFmtId="0" fontId="134" fillId="0" borderId="23"/>
    <xf numFmtId="176" fontId="49" fillId="0" borderId="10"/>
    <xf numFmtId="176" fontId="49" fillId="0" borderId="10"/>
    <xf numFmtId="297" fontId="135" fillId="0" borderId="10"/>
    <xf numFmtId="298" fontId="54" fillId="0" borderId="0" applyFont="0" applyFill="0" applyBorder="0" applyAlignment="0" applyProtection="0"/>
    <xf numFmtId="299" fontId="54" fillId="0" borderId="0" applyFont="0" applyFill="0" applyBorder="0" applyAlignment="0" applyProtection="0"/>
    <xf numFmtId="300" fontId="49" fillId="0" borderId="0" applyFont="0" applyFill="0" applyBorder="0" applyAlignment="0" applyProtection="0"/>
    <xf numFmtId="301"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2"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3"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70"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7" fontId="156" fillId="0" borderId="11" applyFont="0" applyBorder="0" applyAlignment="0"/>
    <xf numFmtId="0" fontId="157" fillId="24" borderId="0"/>
    <xf numFmtId="0" fontId="87" fillId="24" borderId="0"/>
    <xf numFmtId="0" fontId="87" fillId="24" borderId="0"/>
    <xf numFmtId="167" fontId="49"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4" fontId="74" fillId="0" borderId="0" applyFont="0" applyFill="0" applyBorder="0" applyAlignment="0" applyProtection="0"/>
    <xf numFmtId="305" fontId="81" fillId="0" borderId="0" applyFont="0" applyFill="0" applyBorder="0" applyAlignment="0" applyProtection="0"/>
    <xf numFmtId="306" fontId="82"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228" fontId="49"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308" fontId="49"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314" fontId="82" fillId="0" borderId="0" applyFont="0" applyFill="0" applyBorder="0" applyAlignment="0" applyProtection="0"/>
    <xf numFmtId="315"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167" fontId="16" fillId="0" borderId="0" applyFont="0" applyFill="0" applyBorder="0" applyAlignment="0" applyProtection="0"/>
    <xf numFmtId="211"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8" fontId="16" fillId="0" borderId="0" applyFont="0" applyFill="0" applyBorder="0" applyAlignment="0" applyProtection="0"/>
    <xf numFmtId="167"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6"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7"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7" fontId="38"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0" fontId="9" fillId="0" borderId="0" applyFont="0" applyFill="0" applyBorder="0" applyAlignment="0" applyProtection="0"/>
    <xf numFmtId="18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70" fontId="9" fillId="0" borderId="0" applyFont="0" applyFill="0" applyBorder="0" applyAlignment="0" applyProtection="0"/>
    <xf numFmtId="188"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70" fontId="9" fillId="0" borderId="0" applyFont="0" applyFill="0" applyBorder="0" applyAlignment="0" applyProtection="0"/>
    <xf numFmtId="188" fontId="16" fillId="0" borderId="0" applyFont="0" applyFill="0" applyBorder="0" applyAlignment="0" applyProtection="0"/>
    <xf numFmtId="166" fontId="16" fillId="0" borderId="0" applyFont="0" applyFill="0" applyBorder="0" applyAlignment="0" applyProtection="0"/>
    <xf numFmtId="0" fontId="15" fillId="0" borderId="0"/>
    <xf numFmtId="317" fontId="65"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0" fontId="15" fillId="0" borderId="0"/>
    <xf numFmtId="317" fontId="65"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16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6" fontId="16" fillId="0" borderId="0" applyFont="0" applyFill="0" applyBorder="0" applyAlignment="0" applyProtection="0"/>
    <xf numFmtId="207" fontId="16" fillId="0" borderId="0" applyFont="0" applyFill="0" applyBorder="0" applyAlignment="0" applyProtection="0"/>
    <xf numFmtId="201" fontId="16" fillId="0" borderId="0" applyFont="0" applyFill="0" applyBorder="0" applyAlignment="0" applyProtection="0"/>
    <xf numFmtId="207" fontId="16" fillId="0" borderId="0" applyFont="0" applyFill="0" applyBorder="0" applyAlignment="0" applyProtection="0"/>
    <xf numFmtId="180" fontId="8" fillId="0" borderId="0" applyFont="0" applyFill="0" applyBorder="0" applyAlignment="0" applyProtection="0"/>
    <xf numFmtId="206" fontId="16" fillId="0" borderId="0" applyFont="0" applyFill="0" applyBorder="0" applyAlignment="0" applyProtection="0"/>
    <xf numFmtId="180" fontId="16" fillId="0" borderId="0" applyFont="0" applyFill="0" applyBorder="0" applyAlignment="0" applyProtection="0"/>
    <xf numFmtId="188" fontId="8" fillId="0" borderId="0" applyFont="0" applyFill="0" applyBorder="0" applyAlignment="0" applyProtection="0"/>
    <xf numFmtId="0" fontId="15" fillId="0" borderId="0"/>
    <xf numFmtId="210" fontId="16" fillId="0" borderId="0" applyFont="0" applyFill="0" applyBorder="0" applyAlignment="0" applyProtection="0"/>
    <xf numFmtId="317" fontId="65"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77" fontId="38" fillId="0" borderId="0" applyFont="0" applyFill="0" applyBorder="0" applyAlignment="0" applyProtection="0"/>
    <xf numFmtId="188" fontId="16" fillId="0" borderId="0" applyFont="0" applyFill="0" applyBorder="0" applyAlignment="0" applyProtection="0"/>
    <xf numFmtId="170" fontId="9" fillId="0" borderId="0" applyFont="0" applyFill="0" applyBorder="0" applyAlignment="0" applyProtection="0"/>
    <xf numFmtId="188" fontId="16" fillId="0" borderId="0" applyFont="0" applyFill="0" applyBorder="0" applyAlignment="0" applyProtection="0"/>
    <xf numFmtId="170" fontId="9" fillId="0" borderId="0" applyFont="0" applyFill="0" applyBorder="0" applyAlignment="0" applyProtection="0"/>
    <xf numFmtId="207" fontId="16" fillId="0" borderId="0" applyFont="0" applyFill="0" applyBorder="0" applyAlignment="0" applyProtection="0"/>
    <xf numFmtId="170" fontId="9" fillId="0" borderId="0" applyFont="0" applyFill="0" applyBorder="0" applyAlignment="0" applyProtection="0"/>
    <xf numFmtId="207" fontId="16" fillId="0" borderId="0" applyFont="0" applyFill="0" applyBorder="0" applyAlignment="0" applyProtection="0"/>
    <xf numFmtId="177" fontId="38" fillId="0" borderId="0" applyFont="0" applyFill="0" applyBorder="0" applyAlignment="0" applyProtection="0"/>
    <xf numFmtId="188"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applyProtection="0"/>
    <xf numFmtId="189" fontId="16" fillId="0" borderId="0" applyFont="0" applyFill="0" applyBorder="0" applyAlignment="0" applyProtection="0"/>
    <xf numFmtId="41" fontId="16" fillId="0" borderId="0" applyFont="0" applyFill="0" applyBorder="0" applyAlignment="0" applyProtection="0"/>
    <xf numFmtId="180" fontId="8"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189" fontId="16" fillId="0" borderId="0" applyFont="0" applyFill="0" applyBorder="0" applyAlignment="0" applyProtection="0"/>
    <xf numFmtId="170" fontId="16" fillId="0" borderId="0" applyFont="0" applyFill="0" applyBorder="0" applyAlignment="0" applyProtection="0"/>
    <xf numFmtId="189"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170" fontId="16" fillId="0" borderId="0" applyFont="0" applyFill="0" applyBorder="0" applyAlignment="0" applyProtection="0"/>
    <xf numFmtId="202" fontId="31" fillId="0" borderId="0" applyFont="0" applyFill="0" applyBorder="0" applyAlignment="0" applyProtection="0"/>
    <xf numFmtId="170" fontId="16" fillId="0" borderId="0" applyFont="0" applyFill="0" applyBorder="0" applyAlignment="0" applyProtection="0"/>
    <xf numFmtId="203" fontId="16" fillId="0" borderId="0" applyFont="0" applyFill="0" applyBorder="0" applyAlignment="0" applyProtection="0"/>
    <xf numFmtId="167" fontId="16" fillId="0" borderId="0" applyFont="0" applyFill="0" applyBorder="0" applyAlignment="0" applyProtection="0"/>
    <xf numFmtId="180"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180" fontId="8" fillId="0" borderId="0" applyFont="0" applyFill="0" applyBorder="0" applyAlignment="0" applyProtection="0"/>
    <xf numFmtId="170"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180" fontId="16" fillId="0" borderId="0" applyFont="0" applyFill="0" applyBorder="0" applyAlignment="0" applyProtection="0"/>
    <xf numFmtId="188" fontId="16" fillId="0" borderId="0" applyFont="0" applyFill="0" applyBorder="0" applyAlignment="0" applyProtection="0"/>
    <xf numFmtId="202" fontId="31"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7" fontId="16" fillId="0" borderId="0" applyFont="0" applyFill="0" applyBorder="0" applyAlignment="0" applyProtection="0"/>
    <xf numFmtId="180" fontId="16" fillId="0" borderId="0" applyFont="0" applyFill="0" applyBorder="0" applyAlignment="0" applyProtection="0"/>
    <xf numFmtId="170" fontId="16" fillId="0" borderId="0" applyFont="0" applyFill="0" applyBorder="0" applyAlignment="0" applyProtection="0"/>
    <xf numFmtId="204"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0" fontId="15" fillId="0" borderId="0"/>
    <xf numFmtId="317" fontId="65"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88" fontId="8"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8" fontId="65" fillId="0" borderId="3">
      <alignment horizontal="right" vertical="center"/>
    </xf>
    <xf numFmtId="318" fontId="65"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0" fontId="38" fillId="0" borderId="3">
      <alignment horizontal="right" vertical="center"/>
    </xf>
    <xf numFmtId="320" fontId="38" fillId="0" borderId="3">
      <alignment horizontal="right" vertical="center"/>
    </xf>
    <xf numFmtId="321" fontId="54" fillId="0" borderId="3">
      <alignment horizontal="right" vertical="center"/>
    </xf>
    <xf numFmtId="322" fontId="49" fillId="0" borderId="3">
      <alignment horizontal="right" vertical="center"/>
    </xf>
    <xf numFmtId="322" fontId="49" fillId="0" borderId="3">
      <alignment horizontal="right" vertical="center"/>
    </xf>
    <xf numFmtId="319" fontId="16" fillId="0" borderId="3">
      <alignment horizontal="right" vertical="center"/>
    </xf>
    <xf numFmtId="319" fontId="16"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2" fontId="4" fillId="0" borderId="3">
      <alignment horizontal="right" vertical="center"/>
    </xf>
    <xf numFmtId="322" fontId="4" fillId="0" borderId="3">
      <alignment horizontal="right" vertical="center"/>
    </xf>
    <xf numFmtId="319" fontId="16" fillId="0" borderId="3">
      <alignment horizontal="right" vertical="center"/>
    </xf>
    <xf numFmtId="319"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9" fontId="16" fillId="0" borderId="3">
      <alignment horizontal="right" vertical="center"/>
    </xf>
    <xf numFmtId="319" fontId="16"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19" fontId="16" fillId="0" borderId="3">
      <alignment horizontal="right" vertical="center"/>
    </xf>
    <xf numFmtId="319" fontId="16"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25" fontId="183" fillId="2" borderId="35" applyFont="0" applyFill="0" applyBorder="0"/>
    <xf numFmtId="325" fontId="183" fillId="2" borderId="35" applyFont="0" applyFill="0" applyBorder="0"/>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5" fontId="183" fillId="2" borderId="35" applyFont="0" applyFill="0" applyBorder="0"/>
    <xf numFmtId="325" fontId="183" fillId="2" borderId="35" applyFont="0" applyFill="0" applyBorder="0"/>
    <xf numFmtId="322" fontId="49" fillId="0" borderId="3">
      <alignment horizontal="right" vertical="center"/>
    </xf>
    <xf numFmtId="322"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19" fontId="16" fillId="0" borderId="3">
      <alignment horizontal="right" vertical="center"/>
    </xf>
    <xf numFmtId="319" fontId="16"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2" fontId="4" fillId="0" borderId="3">
      <alignment horizontal="right" vertical="center"/>
    </xf>
    <xf numFmtId="322" fontId="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5" fontId="183" fillId="2" borderId="35" applyFont="0" applyFill="0" applyBorder="0"/>
    <xf numFmtId="325" fontId="183" fillId="2" borderId="35" applyFont="0" applyFill="0" applyBorder="0"/>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325" fontId="183" fillId="2" borderId="35" applyFont="0" applyFill="0" applyBorder="0"/>
    <xf numFmtId="325" fontId="183" fillId="2" borderId="35" applyFont="0" applyFill="0" applyBorder="0"/>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49" fontId="28" fillId="0" borderId="0" applyFill="0" applyBorder="0" applyAlignment="0"/>
    <xf numFmtId="0" fontId="49"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6" fontId="49"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5" fillId="0" borderId="3">
      <alignment horizontal="center"/>
    </xf>
    <xf numFmtId="180"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30"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70" fontId="49" fillId="0" borderId="0" applyFont="0" applyFill="0" applyBorder="0" applyAlignment="0" applyProtection="0"/>
    <xf numFmtId="331" fontId="49" fillId="0" borderId="0" applyFont="0" applyFill="0" applyBorder="0" applyAlignment="0" applyProtection="0"/>
    <xf numFmtId="252" fontId="125" fillId="0" borderId="0" applyFont="0" applyFill="0" applyBorder="0" applyAlignment="0" applyProtection="0"/>
    <xf numFmtId="0" fontId="26" fillId="0" borderId="43">
      <alignment horizontal="center"/>
    </xf>
    <xf numFmtId="0" fontId="26" fillId="0" borderId="43">
      <alignment horizontal="center"/>
    </xf>
    <xf numFmtId="326" fontId="65" fillId="0" borderId="0"/>
    <xf numFmtId="332" fontId="65" fillId="0" borderId="1"/>
    <xf numFmtId="332"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164" fontId="205" fillId="46" borderId="2">
      <alignment vertical="top"/>
    </xf>
    <xf numFmtId="164" fontId="205" fillId="46" borderId="2">
      <alignment vertical="top"/>
    </xf>
    <xf numFmtId="295" fontId="205" fillId="46" borderId="2">
      <alignment vertical="top"/>
    </xf>
    <xf numFmtId="0" fontId="206" fillId="47" borderId="1">
      <alignment horizontal="left" vertical="center"/>
    </xf>
    <xf numFmtId="0" fontId="206" fillId="47" borderId="1">
      <alignment horizontal="left" vertical="center"/>
    </xf>
    <xf numFmtId="165" fontId="207" fillId="48" borderId="2"/>
    <xf numFmtId="165" fontId="207" fillId="48" borderId="2"/>
    <xf numFmtId="333" fontId="207" fillId="48" borderId="2"/>
    <xf numFmtId="164" fontId="123" fillId="0" borderId="2">
      <alignment horizontal="left" vertical="top"/>
    </xf>
    <xf numFmtId="164" fontId="123" fillId="0" borderId="2">
      <alignment horizontal="left" vertical="top"/>
    </xf>
    <xf numFmtId="295" fontId="208" fillId="0" borderId="2">
      <alignment horizontal="left" vertical="top"/>
    </xf>
    <xf numFmtId="0" fontId="209" fillId="49" borderId="0">
      <alignment horizontal="left" vertical="center"/>
    </xf>
    <xf numFmtId="164"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95" fontId="210"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66" fontId="94" fillId="0" borderId="0" applyFont="0" applyFill="0" applyBorder="0" applyAlignment="0" applyProtection="0"/>
    <xf numFmtId="168"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70" fontId="9" fillId="0" borderId="0" applyFont="0" applyFill="0" applyBorder="0" applyAlignment="0" applyProtection="0"/>
    <xf numFmtId="166" fontId="216" fillId="0" borderId="0" applyFont="0" applyFill="0" applyBorder="0" applyAlignment="0" applyProtection="0"/>
    <xf numFmtId="168"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5"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7" fontId="4" fillId="0" borderId="0" applyFont="0" applyFill="0" applyBorder="0" applyAlignment="0" applyProtection="0"/>
    <xf numFmtId="230" fontId="4" fillId="0" borderId="0" applyFont="0" applyFill="0" applyBorder="0" applyAlignment="0" applyProtection="0"/>
    <xf numFmtId="0" fontId="142" fillId="0" borderId="0"/>
    <xf numFmtId="0" fontId="142" fillId="0" borderId="0"/>
    <xf numFmtId="0" fontId="222" fillId="0" borderId="0"/>
    <xf numFmtId="0" fontId="34" fillId="0" borderId="0"/>
    <xf numFmtId="170" fontId="13" fillId="0" borderId="0" applyFont="0" applyFill="0" applyBorder="0" applyAlignment="0" applyProtection="0"/>
    <xf numFmtId="171" fontId="13"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92" fontId="13" fillId="0" borderId="0" applyFont="0" applyFill="0" applyBorder="0" applyAlignment="0" applyProtection="0"/>
    <xf numFmtId="336" fontId="22" fillId="0" borderId="0" applyFont="0" applyFill="0" applyBorder="0" applyAlignment="0" applyProtection="0"/>
    <xf numFmtId="337" fontId="13"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7" fillId="0" borderId="0"/>
    <xf numFmtId="0" fontId="7" fillId="0" borderId="0"/>
    <xf numFmtId="0" fontId="80" fillId="0" borderId="0"/>
    <xf numFmtId="177"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80" fontId="8" fillId="0" borderId="0" applyFont="0" applyFill="0" applyBorder="0" applyAlignment="0" applyProtection="0"/>
    <xf numFmtId="0" fontId="16" fillId="0" borderId="0" applyFont="0" applyFill="0" applyBorder="0" applyAlignment="0" applyProtection="0"/>
    <xf numFmtId="188" fontId="8" fillId="0" borderId="0" applyFont="0" applyFill="0" applyBorder="0" applyAlignment="0" applyProtection="0"/>
    <xf numFmtId="180" fontId="8" fillId="0" borderId="0" applyFont="0" applyFill="0" applyBorder="0" applyAlignment="0" applyProtection="0"/>
    <xf numFmtId="188" fontId="8" fillId="0" borderId="0" applyFont="0" applyFill="0" applyBorder="0" applyAlignment="0" applyProtection="0"/>
    <xf numFmtId="0" fontId="16" fillId="0" borderId="0" applyFont="0" applyFill="0" applyBorder="0" applyAlignment="0" applyProtection="0"/>
    <xf numFmtId="188"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167" fontId="79"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0" fontId="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9" fontId="144" fillId="0" borderId="0" applyFont="0" applyFill="0" applyBorder="0" applyAlignment="0" applyProtection="0"/>
    <xf numFmtId="169" fontId="87" fillId="0" borderId="0" applyFont="0" applyFill="0" applyBorder="0" applyAlignment="0" applyProtection="0"/>
    <xf numFmtId="169" fontId="80" fillId="0" borderId="0" applyFont="0" applyFill="0" applyBorder="0" applyAlignment="0" applyProtection="0"/>
    <xf numFmtId="338"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5" fontId="80" fillId="0" borderId="0" applyFont="0" applyFill="0" applyBorder="0" applyAlignment="0" applyProtection="0"/>
    <xf numFmtId="0" fontId="80" fillId="0" borderId="0" applyFont="0" applyFill="0" applyBorder="0" applyAlignment="0" applyProtection="0"/>
    <xf numFmtId="169" fontId="87" fillId="0" borderId="0" applyFont="0" applyFill="0" applyBorder="0" applyAlignment="0" applyProtection="0"/>
    <xf numFmtId="196" fontId="148" fillId="0" borderId="0" applyFont="0" applyFill="0" applyBorder="0" applyAlignment="0" applyProtection="0"/>
    <xf numFmtId="0" fontId="80" fillId="0" borderId="0" applyFont="0" applyFill="0" applyBorder="0" applyAlignment="0" applyProtection="0"/>
    <xf numFmtId="208" fontId="4" fillId="0" borderId="0" applyFont="0" applyFill="0" applyBorder="0" applyAlignment="0" applyProtection="0"/>
    <xf numFmtId="339" fontId="4" fillId="0" borderId="0" applyFont="0" applyFill="0" applyBorder="0" applyAlignment="0" applyProtection="0"/>
    <xf numFmtId="169" fontId="143"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208"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40"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8" fontId="80" fillId="0" borderId="0" applyFont="0" applyFill="0" applyBorder="0" applyAlignment="0" applyProtection="0"/>
    <xf numFmtId="0" fontId="5" fillId="0" borderId="0" applyFont="0" applyFill="0" applyBorder="0" applyAlignment="0" applyProtection="0"/>
    <xf numFmtId="169" fontId="9" fillId="0" borderId="0" applyFont="0" applyFill="0" applyBorder="0" applyAlignment="0" applyProtection="0"/>
    <xf numFmtId="167"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169" fontId="14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225" fillId="0" borderId="0" applyFont="0" applyFill="0" applyBorder="0" applyAlignment="0" applyProtection="0"/>
    <xf numFmtId="169" fontId="149"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43" fontId="4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144" fillId="0" borderId="0" applyFont="0" applyFill="0" applyBorder="0" applyAlignment="0" applyProtection="0"/>
    <xf numFmtId="169" fontId="87" fillId="0" borderId="0" applyFont="0" applyFill="0" applyBorder="0" applyAlignment="0" applyProtection="0"/>
    <xf numFmtId="43" fontId="14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69" fontId="7" fillId="0" borderId="0" applyFont="0" applyFill="0" applyBorder="0" applyAlignment="0" applyProtection="0"/>
    <xf numFmtId="230" fontId="83" fillId="0" borderId="0" applyFont="0" applyFill="0" applyBorder="0" applyAlignment="0" applyProtection="0"/>
    <xf numFmtId="169" fontId="144" fillId="0" borderId="0" applyFont="0" applyFill="0" applyBorder="0" applyAlignment="0" applyProtection="0"/>
    <xf numFmtId="42" fontId="80" fillId="0" borderId="0" applyFont="0" applyFill="0" applyBorder="0" applyAlignment="0" applyProtection="0"/>
    <xf numFmtId="42" fontId="8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8"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166" fontId="16" fillId="0" borderId="0" applyFont="0" applyFill="0" applyBorder="0" applyAlignment="0" applyProtection="0"/>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5" fontId="183" fillId="2" borderId="35" applyFont="0" applyFill="0" applyBorder="0"/>
    <xf numFmtId="325" fontId="183" fillId="2" borderId="35" applyFont="0" applyFill="0" applyBorder="0"/>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325" fontId="183" fillId="2" borderId="35" applyFont="0" applyFill="0" applyBorder="0"/>
    <xf numFmtId="325" fontId="183" fillId="2" borderId="35" applyFont="0" applyFill="0" applyBorder="0"/>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49" fontId="28"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49"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6" fontId="49"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5" fillId="0" borderId="3">
      <alignment horizontal="center"/>
    </xf>
    <xf numFmtId="180"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30"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41" fontId="135" fillId="0" borderId="0" applyFont="0" applyFill="0" applyBorder="0" applyAlignment="0" applyProtection="0"/>
    <xf numFmtId="342" fontId="38" fillId="0" borderId="0" applyFont="0" applyFill="0" applyBorder="0" applyAlignment="0" applyProtection="0"/>
    <xf numFmtId="0" fontId="26" fillId="0" borderId="43">
      <alignment horizontal="center"/>
    </xf>
    <xf numFmtId="0" fontId="26" fillId="0" borderId="43">
      <alignment horizontal="center"/>
    </xf>
    <xf numFmtId="326" fontId="65" fillId="0" borderId="0"/>
    <xf numFmtId="332" fontId="65" fillId="0" borderId="1"/>
    <xf numFmtId="332"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164" fontId="205" fillId="46" borderId="2">
      <alignment vertical="top"/>
    </xf>
    <xf numFmtId="295" fontId="205" fillId="46" borderId="2">
      <alignment vertical="top"/>
    </xf>
    <xf numFmtId="164" fontId="205" fillId="46" borderId="2">
      <alignment vertical="top"/>
    </xf>
    <xf numFmtId="0" fontId="206" fillId="47" borderId="1">
      <alignment horizontal="left" vertical="center"/>
    </xf>
    <xf numFmtId="0" fontId="206" fillId="47" borderId="1">
      <alignment horizontal="left" vertical="center"/>
    </xf>
    <xf numFmtId="165" fontId="207" fillId="48" borderId="2"/>
    <xf numFmtId="333" fontId="207" fillId="48" borderId="2"/>
    <xf numFmtId="165" fontId="207" fillId="48" borderId="2"/>
    <xf numFmtId="164" fontId="123" fillId="0" borderId="2">
      <alignment horizontal="left" vertical="top"/>
    </xf>
    <xf numFmtId="295" fontId="208" fillId="0" borderId="2">
      <alignment horizontal="left" vertical="top"/>
    </xf>
    <xf numFmtId="164" fontId="123" fillId="0" borderId="2">
      <alignment horizontal="left" vertical="top"/>
    </xf>
    <xf numFmtId="0" fontId="209" fillId="49" borderId="0">
      <alignment horizontal="left" vertical="center"/>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95" fontId="210" fillId="0" borderId="6">
      <alignment horizontal="left" vertical="top"/>
    </xf>
    <xf numFmtId="164"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169" fontId="143" fillId="0" borderId="0" applyFont="0" applyFill="0" applyBorder="0" applyAlignment="0" applyProtection="0"/>
    <xf numFmtId="3" fontId="11" fillId="0" borderId="51"/>
    <xf numFmtId="3" fontId="11" fillId="0" borderId="51"/>
    <xf numFmtId="193" fontId="9" fillId="0" borderId="0" applyFont="0" applyFill="0" applyBorder="0" applyAlignment="0" applyProtection="0"/>
    <xf numFmtId="234"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167" fontId="230" fillId="0" borderId="0" applyFont="0" applyFill="0" applyBorder="0" applyAlignment="0" applyProtection="0"/>
    <xf numFmtId="343" fontId="80" fillId="0" borderId="0" applyFont="0" applyFill="0" applyBorder="0" applyAlignment="0" applyProtection="0"/>
    <xf numFmtId="344" fontId="49" fillId="0" borderId="0" applyFont="0" applyFill="0" applyBorder="0" applyAlignment="0" applyProtection="0"/>
    <xf numFmtId="324" fontId="4" fillId="0" borderId="0" applyFont="0" applyFill="0" applyBorder="0" applyAlignment="0" applyProtection="0"/>
    <xf numFmtId="324" fontId="80" fillId="0" borderId="0" applyFont="0" applyFill="0" applyBorder="0" applyAlignment="0" applyProtection="0"/>
    <xf numFmtId="169" fontId="230" fillId="0" borderId="0" applyFont="0" applyFill="0" applyBorder="0" applyAlignment="0" applyProtection="0"/>
    <xf numFmtId="324" fontId="9" fillId="0" borderId="0" applyFont="0" applyFill="0" applyBorder="0" applyAlignment="0" applyProtection="0"/>
    <xf numFmtId="260" fontId="36" fillId="0" borderId="53" applyFill="0" applyProtection="0"/>
    <xf numFmtId="188" fontId="9" fillId="0" borderId="0" applyFont="0" applyFill="0" applyBorder="0" applyAlignment="0" applyProtection="0"/>
    <xf numFmtId="281"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5"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3"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69"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3" fontId="9" fillId="0" borderId="0" applyFont="0" applyFill="0" applyBorder="0" applyAlignment="0" applyProtection="0"/>
    <xf numFmtId="0" fontId="143" fillId="0" borderId="0"/>
    <xf numFmtId="169" fontId="143" fillId="0" borderId="0" applyFont="0" applyFill="0" applyBorder="0" applyAlignment="0" applyProtection="0"/>
    <xf numFmtId="284" fontId="15" fillId="0" borderId="51"/>
    <xf numFmtId="284" fontId="15" fillId="0" borderId="51"/>
    <xf numFmtId="164" fontId="123" fillId="27" borderId="51" applyNumberFormat="0" applyAlignment="0">
      <alignment horizontal="left" vertical="top"/>
    </xf>
    <xf numFmtId="164" fontId="123" fillId="27" borderId="51" applyNumberFormat="0" applyAlignment="0">
      <alignment horizontal="left" vertical="top"/>
    </xf>
    <xf numFmtId="295"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2" fontId="65" fillId="0" borderId="51"/>
    <xf numFmtId="332" fontId="65" fillId="0" borderId="51"/>
    <xf numFmtId="0" fontId="206" fillId="47" borderId="51">
      <alignment horizontal="left" vertical="center"/>
    </xf>
    <xf numFmtId="0" fontId="206" fillId="47" borderId="51">
      <alignment horizontal="left" vertical="center"/>
    </xf>
    <xf numFmtId="193" fontId="9" fillId="0" borderId="0" applyFont="0" applyFill="0" applyBorder="0" applyAlignment="0" applyProtection="0"/>
    <xf numFmtId="169" fontId="143" fillId="0" borderId="0" applyFont="0" applyFill="0" applyBorder="0" applyAlignment="0" applyProtection="0"/>
    <xf numFmtId="0" fontId="143" fillId="0" borderId="0"/>
    <xf numFmtId="0" fontId="7" fillId="0" borderId="0"/>
    <xf numFmtId="193" fontId="9" fillId="0" borderId="0" applyFont="0" applyFill="0" applyBorder="0" applyAlignment="0" applyProtection="0"/>
    <xf numFmtId="169"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6" fontId="232" fillId="0" borderId="57">
      <alignment horizontal="center"/>
      <protection hidden="1"/>
    </xf>
    <xf numFmtId="177" fontId="12" fillId="0" borderId="12" applyFont="0" applyBorder="0"/>
    <xf numFmtId="347" fontId="233"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234" fillId="0" borderId="0" applyBorder="0"/>
    <xf numFmtId="0" fontId="15" fillId="0" borderId="0"/>
    <xf numFmtId="0" fontId="15" fillId="0" borderId="0"/>
    <xf numFmtId="0" fontId="30" fillId="0" borderId="0" applyNumberFormat="0" applyFill="0" applyAlignment="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9"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80" fontId="8"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66"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9" fontId="8"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172" fontId="65" fillId="0" borderId="0" applyFont="0" applyFill="0" applyBorder="0" applyAlignment="0" applyProtection="0"/>
    <xf numFmtId="350" fontId="30" fillId="0" borderId="0" applyFill="0" applyBorder="0" applyAlignment="0" applyProtection="0"/>
    <xf numFmtId="165" fontId="22" fillId="0" borderId="0" applyFont="0" applyFill="0" applyBorder="0" applyAlignment="0" applyProtection="0"/>
    <xf numFmtId="351" fontId="30" fillId="0" borderId="0" applyFill="0" applyBorder="0" applyAlignment="0" applyProtection="0"/>
    <xf numFmtId="352" fontId="30" fillId="0" borderId="0" applyFill="0" applyBorder="0" applyAlignment="0" applyProtection="0"/>
    <xf numFmtId="187" fontId="13" fillId="0" borderId="0" applyFont="0" applyFill="0" applyBorder="0" applyAlignment="0" applyProtection="0"/>
    <xf numFmtId="350" fontId="30" fillId="0" borderId="0" applyFill="0" applyBorder="0" applyAlignment="0" applyProtection="0"/>
    <xf numFmtId="165" fontId="22" fillId="0" borderId="0" applyFont="0" applyFill="0" applyBorder="0" applyAlignment="0" applyProtection="0"/>
    <xf numFmtId="351" fontId="30" fillId="0" borderId="0" applyFill="0" applyBorder="0" applyAlignment="0" applyProtection="0"/>
    <xf numFmtId="352" fontId="30" fillId="0" borderId="0" applyFill="0" applyBorder="0" applyAlignment="0" applyProtection="0"/>
    <xf numFmtId="206" fontId="65" fillId="0" borderId="0" applyFont="0" applyFill="0" applyBorder="0" applyAlignment="0" applyProtection="0"/>
    <xf numFmtId="353" fontId="30" fillId="0" borderId="0" applyFill="0" applyBorder="0" applyAlignment="0" applyProtection="0"/>
    <xf numFmtId="215"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4" fontId="244" fillId="0" borderId="13" applyBorder="0"/>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5" fontId="246" fillId="0" borderId="54"/>
    <xf numFmtId="355" fontId="246" fillId="0" borderId="54"/>
    <xf numFmtId="355" fontId="246" fillId="0" borderId="54"/>
    <xf numFmtId="355" fontId="246" fillId="0" borderId="54"/>
    <xf numFmtId="355" fontId="246" fillId="0" borderId="54"/>
    <xf numFmtId="355" fontId="246" fillId="0" borderId="54"/>
    <xf numFmtId="355" fontId="246" fillId="0" borderId="54"/>
    <xf numFmtId="355" fontId="246" fillId="0" borderId="54"/>
    <xf numFmtId="0" fontId="247" fillId="23" borderId="16" applyNumberFormat="0" applyAlignment="0" applyProtection="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338" fontId="80" fillId="0" borderId="0" applyFont="0" applyFill="0" applyBorder="0" applyAlignment="0" applyProtection="0"/>
    <xf numFmtId="41" fontId="48" fillId="0" borderId="0" applyFont="0" applyFill="0" applyBorder="0" applyAlignment="0" applyProtection="0"/>
    <xf numFmtId="187" fontId="48" fillId="0" borderId="0" applyFont="0" applyFill="0" applyBorder="0" applyAlignment="0" applyProtection="0"/>
    <xf numFmtId="356" fontId="233" fillId="0" borderId="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15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5" fontId="80" fillId="0" borderId="0" applyFont="0" applyFill="0" applyBorder="0" applyAlignment="0" applyProtection="0"/>
    <xf numFmtId="195" fontId="8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80" fillId="0" borderId="0" applyFont="0" applyFill="0" applyBorder="0" applyAlignment="0" applyProtection="0"/>
    <xf numFmtId="169" fontId="87" fillId="0" borderId="0" applyFont="0" applyFill="0" applyBorder="0" applyAlignment="0" applyProtection="0"/>
    <xf numFmtId="41" fontId="80" fillId="0" borderId="0" applyFont="0" applyFill="0" applyBorder="0" applyAlignment="0" applyProtection="0"/>
    <xf numFmtId="170" fontId="80" fillId="0" borderId="0" applyFont="0" applyFill="0" applyBorder="0" applyAlignment="0" applyProtection="0"/>
    <xf numFmtId="301" fontId="80" fillId="0" borderId="0" applyFont="0" applyFill="0" applyBorder="0" applyAlignment="0" applyProtection="0"/>
    <xf numFmtId="301"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69" fontId="80"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169" fontId="148" fillId="0" borderId="0" applyFont="0" applyFill="0" applyBorder="0" applyAlignment="0" applyProtection="0"/>
    <xf numFmtId="41" fontId="148" fillId="0" borderId="0" applyFont="0" applyFill="0" applyBorder="0" applyAlignment="0" applyProtection="0"/>
    <xf numFmtId="41" fontId="148" fillId="0" borderId="0" applyFont="0" applyFill="0" applyBorder="0" applyAlignment="0" applyProtection="0"/>
    <xf numFmtId="169" fontId="148" fillId="0" borderId="0" applyFont="0" applyFill="0" applyBorder="0" applyAlignment="0" applyProtection="0"/>
    <xf numFmtId="338" fontId="148" fillId="0" borderId="0" applyFont="0" applyFill="0" applyBorder="0" applyAlignment="0" applyProtection="0"/>
    <xf numFmtId="338" fontId="148" fillId="0" borderId="0" applyFont="0" applyFill="0" applyBorder="0" applyAlignment="0" applyProtection="0"/>
    <xf numFmtId="338" fontId="148" fillId="0" borderId="0" applyFont="0" applyFill="0" applyBorder="0" applyAlignment="0" applyProtection="0"/>
    <xf numFmtId="0" fontId="233" fillId="0" borderId="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358" fontId="4" fillId="0" borderId="0" applyFont="0" applyFill="0" applyBorder="0" applyAlignment="0" applyProtection="0"/>
    <xf numFmtId="169" fontId="248" fillId="0" borderId="0" applyFont="0" applyFill="0" applyBorder="0" applyAlignment="0" applyProtection="0"/>
    <xf numFmtId="338" fontId="80" fillId="0" borderId="0" applyFont="0" applyFill="0" applyBorder="0" applyAlignment="0" applyProtection="0"/>
    <xf numFmtId="338" fontId="80"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83" fontId="80" fillId="0" borderId="0" applyFont="0" applyFill="0" applyBorder="0" applyAlignment="0" applyProtection="0"/>
    <xf numFmtId="359" fontId="80" fillId="0" borderId="0" applyFont="0" applyFill="0" applyBorder="0" applyAlignment="0" applyProtection="0"/>
    <xf numFmtId="169" fontId="80"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75" fontId="48" fillId="0" borderId="0" applyFont="0" applyFill="0" applyBorder="0" applyAlignment="0" applyProtection="0"/>
    <xf numFmtId="175" fontId="48" fillId="0" borderId="0" applyFont="0" applyFill="0" applyBorder="0" applyAlignment="0" applyProtection="0"/>
    <xf numFmtId="195" fontId="4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49" fillId="0" borderId="0" applyFont="0" applyFill="0" applyBorder="0" applyAlignment="0" applyProtection="0"/>
    <xf numFmtId="169" fontId="4" fillId="0" borderId="0" applyFont="0" applyFill="0" applyBorder="0" applyAlignment="0" applyProtection="0"/>
    <xf numFmtId="360" fontId="233" fillId="0" borderId="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360" fontId="233" fillId="0" borderId="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23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65" fillId="0" borderId="0" applyFont="0" applyFill="0" applyBorder="0" applyAlignment="0" applyProtection="0"/>
    <xf numFmtId="361" fontId="30" fillId="0" borderId="0" applyFill="0" applyBorder="0" applyAlignment="0" applyProtection="0"/>
    <xf numFmtId="362" fontId="30" fillId="0" borderId="0" applyFill="0" applyBorder="0" applyAlignment="0" applyProtection="0"/>
    <xf numFmtId="363" fontId="250" fillId="0" borderId="0">
      <protection locked="0"/>
    </xf>
    <xf numFmtId="364" fontId="250" fillId="0" borderId="0">
      <protection locked="0"/>
    </xf>
    <xf numFmtId="365" fontId="251" fillId="0" borderId="7">
      <protection locked="0"/>
    </xf>
    <xf numFmtId="366" fontId="250" fillId="0" borderId="0">
      <protection locked="0"/>
    </xf>
    <xf numFmtId="367" fontId="250" fillId="0" borderId="0">
      <protection locked="0"/>
    </xf>
    <xf numFmtId="366" fontId="250" fillId="0" borderId="0" applyNumberFormat="0">
      <protection locked="0"/>
    </xf>
    <xf numFmtId="366" fontId="250" fillId="0" borderId="0">
      <protection locked="0"/>
    </xf>
    <xf numFmtId="354" fontId="252" fillId="0" borderId="57"/>
    <xf numFmtId="0" fontId="252" fillId="0" borderId="57"/>
    <xf numFmtId="354" fontId="232" fillId="0" borderId="57">
      <alignment horizontal="center"/>
      <protection hidden="1"/>
    </xf>
    <xf numFmtId="0" fontId="254" fillId="0" borderId="0"/>
    <xf numFmtId="0" fontId="80" fillId="0" borderId="0"/>
    <xf numFmtId="0" fontId="80" fillId="0" borderId="0"/>
    <xf numFmtId="0" fontId="80" fillId="0" borderId="0"/>
    <xf numFmtId="368" fontId="7" fillId="0" borderId="0" applyFont="0" applyFill="0" applyBorder="0" applyAlignment="0" applyProtection="0"/>
    <xf numFmtId="368" fontId="80" fillId="0" borderId="0" applyFont="0" applyFill="0" applyBorder="0" applyAlignment="0" applyProtection="0"/>
    <xf numFmtId="0" fontId="80" fillId="0" borderId="0"/>
    <xf numFmtId="167"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169" fontId="5" fillId="0" borderId="0" applyFont="0" applyFill="0" applyBorder="0" applyAlignment="0" applyProtection="0"/>
    <xf numFmtId="169" fontId="257" fillId="0" borderId="0" applyFont="0" applyFill="0" applyBorder="0" applyAlignment="0" applyProtection="0"/>
    <xf numFmtId="169" fontId="83" fillId="0" borderId="0" applyFont="0" applyFill="0" applyBorder="0" applyAlignment="0" applyProtection="0"/>
    <xf numFmtId="0" fontId="3" fillId="0" borderId="0"/>
    <xf numFmtId="169" fontId="3" fillId="0" borderId="0" applyFont="0" applyFill="0" applyBorder="0" applyAlignment="0" applyProtection="0"/>
    <xf numFmtId="0" fontId="5" fillId="0" borderId="0"/>
    <xf numFmtId="171"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169" fontId="83" fillId="0" borderId="0" applyFont="0" applyFill="0" applyBorder="0" applyAlignment="0" applyProtection="0"/>
    <xf numFmtId="0" fontId="9" fillId="0" borderId="0" applyFont="0" applyFill="0" applyBorder="0" applyAlignment="0" applyProtection="0"/>
    <xf numFmtId="169" fontId="2" fillId="0" borderId="0" applyFont="0" applyFill="0" applyBorder="0" applyAlignment="0" applyProtection="0"/>
    <xf numFmtId="0" fontId="2" fillId="0" borderId="0"/>
    <xf numFmtId="0" fontId="228" fillId="0" borderId="0"/>
    <xf numFmtId="0" fontId="1" fillId="0" borderId="0"/>
  </cellStyleXfs>
  <cellXfs count="369">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5"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71" fontId="83" fillId="0" borderId="0" xfId="20514" applyFont="1" applyFill="1"/>
    <xf numFmtId="369" fontId="83" fillId="0" borderId="0" xfId="20514" applyNumberFormat="1" applyFont="1" applyFill="1"/>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0" fontId="83" fillId="66" borderId="68" xfId="0" applyFont="1" applyFill="1" applyBorder="1" applyAlignment="1">
      <alignment vertical="center"/>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0" fontId="83" fillId="0" borderId="68" xfId="0" applyFont="1" applyBorder="1" applyAlignment="1">
      <alignment horizontal="center"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0" fontId="264" fillId="66" borderId="0" xfId="0" applyFont="1" applyFill="1" applyAlignment="1">
      <alignment horizontal="center" vertical="center"/>
    </xf>
    <xf numFmtId="3" fontId="83" fillId="66" borderId="68" xfId="20518" applyNumberFormat="1" applyFont="1" applyFill="1" applyBorder="1" applyAlignment="1">
      <alignment horizontal="center" vertical="center" wrapText="1"/>
    </xf>
    <xf numFmtId="0" fontId="36" fillId="0" borderId="68" xfId="0" applyFont="1" applyBorder="1" applyAlignment="1">
      <alignment horizontal="center" vertical="center"/>
    </xf>
    <xf numFmtId="0" fontId="264" fillId="66" borderId="68" xfId="0" applyFont="1" applyFill="1" applyBorder="1" applyAlignment="1">
      <alignment horizontal="left" vertical="center" wrapText="1"/>
    </xf>
    <xf numFmtId="245" fontId="264" fillId="66" borderId="68" xfId="0" applyNumberFormat="1" applyFont="1" applyFill="1" applyBorder="1" applyAlignment="1">
      <alignment horizontal="center" vertical="center"/>
    </xf>
    <xf numFmtId="171" fontId="264" fillId="66" borderId="68" xfId="20514" applyFont="1" applyFill="1" applyBorder="1" applyAlignment="1">
      <alignment horizontal="center" vertical="center"/>
    </xf>
    <xf numFmtId="0" fontId="111" fillId="66" borderId="68" xfId="0" applyFont="1" applyFill="1" applyBorder="1" applyAlignment="1">
      <alignment vertical="center"/>
    </xf>
    <xf numFmtId="0" fontId="270" fillId="66" borderId="68" xfId="0" applyFont="1" applyFill="1" applyBorder="1" applyAlignment="1">
      <alignment vertical="center"/>
    </xf>
    <xf numFmtId="245"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0" fontId="83" fillId="66" borderId="68" xfId="0" quotePrefix="1" applyFont="1" applyFill="1" applyBorder="1" applyAlignment="1">
      <alignment horizontal="center" vertical="center" wrapText="1"/>
    </xf>
    <xf numFmtId="0" fontId="264" fillId="66" borderId="68" xfId="0" quotePrefix="1" applyFont="1" applyFill="1" applyBorder="1" applyAlignment="1">
      <alignment vertical="center" wrapText="1"/>
    </xf>
    <xf numFmtId="0" fontId="268" fillId="0" borderId="68" xfId="0" quotePrefix="1" applyFont="1" applyBorder="1" applyAlignment="1">
      <alignment horizontal="center" vertical="center" wrapText="1"/>
    </xf>
    <xf numFmtId="245" fontId="83" fillId="66" borderId="68" xfId="20514" applyNumberFormat="1" applyFont="1" applyFill="1" applyBorder="1" applyAlignment="1">
      <alignment horizontal="center" vertical="center" wrapText="1"/>
    </xf>
    <xf numFmtId="171" fontId="83" fillId="66" borderId="68" xfId="0" applyNumberFormat="1" applyFont="1" applyFill="1" applyBorder="1" applyAlignment="1">
      <alignment horizontal="center" vertical="center"/>
    </xf>
    <xf numFmtId="171" fontId="83" fillId="66" borderId="68" xfId="20514" applyFont="1" applyFill="1" applyBorder="1" applyAlignment="1">
      <alignment horizontal="center" vertical="center"/>
    </xf>
    <xf numFmtId="0" fontId="83" fillId="66" borderId="0" xfId="0" applyFont="1" applyFill="1" applyAlignment="1">
      <alignment horizontal="center" vertical="center"/>
    </xf>
    <xf numFmtId="245"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0" fontId="83" fillId="66" borderId="68" xfId="20517" applyFont="1" applyFill="1" applyBorder="1" applyAlignment="1">
      <alignment horizontal="center" vertical="center" wrapText="1"/>
    </xf>
    <xf numFmtId="0" fontId="83" fillId="0" borderId="68" xfId="20517" applyFont="1" applyBorder="1" applyAlignment="1">
      <alignment horizontal="center" vertical="center" wrapText="1"/>
    </xf>
    <xf numFmtId="245" fontId="83" fillId="66" borderId="68" xfId="0" applyNumberFormat="1" applyFont="1" applyFill="1" applyBorder="1" applyAlignment="1">
      <alignment vertical="center"/>
    </xf>
    <xf numFmtId="171" fontId="264" fillId="66" borderId="68" xfId="20514" applyFont="1" applyFill="1" applyBorder="1" applyAlignment="1">
      <alignment vertical="center"/>
    </xf>
    <xf numFmtId="0" fontId="264" fillId="66" borderId="68" xfId="0" quotePrefix="1" applyFont="1" applyFill="1" applyBorder="1" applyAlignment="1">
      <alignment vertical="center"/>
    </xf>
    <xf numFmtId="0" fontId="83" fillId="66" borderId="68" xfId="0" quotePrefix="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177" fontId="36" fillId="66" borderId="68" xfId="0" applyNumberFormat="1" applyFont="1" applyFill="1" applyBorder="1" applyAlignment="1">
      <alignment horizontal="center" vertical="center"/>
    </xf>
    <xf numFmtId="171" fontId="83" fillId="66" borderId="68" xfId="20514" applyFont="1" applyFill="1" applyBorder="1" applyAlignment="1">
      <alignment vertical="center"/>
    </xf>
    <xf numFmtId="171"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7" fontId="264" fillId="67" borderId="68" xfId="0" applyNumberFormat="1" applyFont="1" applyFill="1" applyBorder="1" applyAlignment="1">
      <alignment horizontal="center" vertical="center"/>
    </xf>
    <xf numFmtId="177" fontId="81" fillId="0" borderId="75" xfId="20514" applyNumberFormat="1" applyFont="1" applyFill="1" applyBorder="1" applyAlignment="1">
      <alignment horizontal="center" vertical="center" wrapText="1"/>
    </xf>
    <xf numFmtId="171" fontId="83" fillId="66" borderId="8" xfId="20514" applyFont="1" applyFill="1" applyBorder="1" applyAlignment="1">
      <alignment vertical="center"/>
    </xf>
    <xf numFmtId="0" fontId="264" fillId="0" borderId="0" xfId="0" applyFont="1" applyFill="1"/>
    <xf numFmtId="171" fontId="264" fillId="0" borderId="68" xfId="20514" quotePrefix="1" applyFont="1" applyBorder="1" applyAlignment="1">
      <alignment horizontal="center" vertical="center" wrapText="1"/>
    </xf>
    <xf numFmtId="0" fontId="81" fillId="66" borderId="0" xfId="0" applyFont="1" applyFill="1" applyAlignment="1">
      <alignment horizontal="center" vertical="center"/>
    </xf>
    <xf numFmtId="171" fontId="264" fillId="0" borderId="68" xfId="20514" applyFont="1" applyFill="1" applyBorder="1" applyAlignment="1">
      <alignment vertical="center"/>
    </xf>
    <xf numFmtId="171" fontId="36" fillId="0" borderId="68" xfId="20514" applyFont="1" applyFill="1" applyBorder="1" applyAlignment="1">
      <alignment horizontal="center" vertical="center"/>
    </xf>
    <xf numFmtId="171" fontId="83" fillId="0" borderId="68" xfId="20514" applyFont="1" applyFill="1" applyBorder="1" applyAlignment="1">
      <alignment vertical="center"/>
    </xf>
    <xf numFmtId="0" fontId="36" fillId="0" borderId="75" xfId="2612" applyFont="1" applyFill="1" applyBorder="1" applyAlignment="1">
      <alignment horizontal="center" vertical="center"/>
    </xf>
    <xf numFmtId="0" fontId="36" fillId="0" borderId="75" xfId="2612" applyFont="1" applyFill="1" applyBorder="1" applyAlignment="1">
      <alignment horizontal="justify" vertical="center" wrapText="1"/>
    </xf>
    <xf numFmtId="171" fontId="36" fillId="0" borderId="75" xfId="20514" applyFont="1" applyFill="1" applyBorder="1" applyAlignment="1">
      <alignment horizontal="right" vertical="center" wrapText="1"/>
    </xf>
    <xf numFmtId="49" fontId="264" fillId="69" borderId="75"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7" fontId="264" fillId="69" borderId="9" xfId="20514" applyNumberFormat="1" applyFont="1" applyFill="1" applyBorder="1" applyAlignment="1">
      <alignment horizontal="center" vertical="center" wrapText="1"/>
    </xf>
    <xf numFmtId="0" fontId="264" fillId="69" borderId="75" xfId="0"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5" xfId="0" applyFont="1" applyFill="1" applyBorder="1" applyAlignment="1">
      <alignment vertical="center" wrapText="1"/>
    </xf>
    <xf numFmtId="177" fontId="111" fillId="0" borderId="75" xfId="20514" applyNumberFormat="1" applyFont="1" applyFill="1" applyBorder="1" applyAlignment="1">
      <alignment horizontal="right" vertical="center" wrapText="1"/>
    </xf>
    <xf numFmtId="0" fontId="111" fillId="70" borderId="75" xfId="0" applyFont="1" applyFill="1" applyBorder="1" applyAlignment="1">
      <alignment horizontal="center" vertical="center" wrapText="1"/>
    </xf>
    <xf numFmtId="0" fontId="111" fillId="70" borderId="75" xfId="0" applyFont="1" applyFill="1" applyBorder="1" applyAlignment="1">
      <alignment vertical="center" wrapText="1"/>
    </xf>
    <xf numFmtId="177" fontId="111" fillId="70" borderId="75" xfId="20514" applyNumberFormat="1" applyFont="1" applyFill="1" applyBorder="1" applyAlignment="1">
      <alignment horizontal="right" vertical="center" wrapText="1"/>
    </xf>
    <xf numFmtId="0" fontId="111" fillId="0" borderId="75" xfId="0" applyFont="1" applyFill="1" applyBorder="1" applyAlignment="1">
      <alignment horizontal="center" vertical="center" wrapText="1"/>
    </xf>
    <xf numFmtId="0" fontId="111" fillId="0" borderId="75" xfId="0" quotePrefix="1" applyFont="1" applyFill="1" applyBorder="1" applyAlignment="1">
      <alignment horizontal="center" vertical="center" wrapText="1"/>
    </xf>
    <xf numFmtId="0" fontId="81" fillId="0" borderId="75" xfId="0" quotePrefix="1" applyFont="1" applyFill="1" applyBorder="1" applyAlignment="1">
      <alignment horizontal="center" vertical="center" wrapText="1"/>
    </xf>
    <xf numFmtId="0" fontId="81" fillId="0" borderId="75" xfId="0" applyFont="1" applyFill="1" applyBorder="1" applyAlignment="1">
      <alignment vertical="center" wrapText="1"/>
    </xf>
    <xf numFmtId="177" fontId="81" fillId="0" borderId="75" xfId="20514" applyNumberFormat="1" applyFont="1" applyFill="1" applyBorder="1" applyAlignment="1">
      <alignment horizontal="right" vertical="center" wrapText="1"/>
    </xf>
    <xf numFmtId="0" fontId="81" fillId="0" borderId="75" xfId="20517" applyFont="1" applyFill="1" applyBorder="1" applyAlignment="1">
      <alignment horizontal="center" vertical="center" wrapText="1"/>
    </xf>
    <xf numFmtId="0" fontId="81" fillId="0" borderId="75" xfId="20517" quotePrefix="1" applyFont="1" applyFill="1" applyBorder="1" applyAlignment="1">
      <alignment horizontal="center" vertical="center" wrapText="1"/>
    </xf>
    <xf numFmtId="0" fontId="81" fillId="0" borderId="75" xfId="0" quotePrefix="1" applyFont="1" applyFill="1" applyBorder="1" applyAlignment="1">
      <alignment vertical="center" wrapText="1"/>
    </xf>
    <xf numFmtId="0" fontId="111" fillId="0" borderId="75" xfId="0" applyFont="1" applyFill="1" applyBorder="1" applyAlignment="1">
      <alignment horizontal="left" vertical="center" wrapText="1"/>
    </xf>
    <xf numFmtId="177" fontId="81" fillId="0" borderId="75" xfId="20514" quotePrefix="1" applyNumberFormat="1" applyFont="1" applyFill="1" applyBorder="1" applyAlignment="1">
      <alignment horizontal="right" vertical="center" wrapText="1"/>
    </xf>
    <xf numFmtId="0" fontId="81" fillId="0" borderId="75" xfId="0" applyFont="1" applyFill="1" applyBorder="1" applyAlignment="1">
      <alignment horizontal="center" vertical="center" wrapText="1"/>
    </xf>
    <xf numFmtId="0" fontId="111" fillId="0" borderId="75" xfId="0" quotePrefix="1" applyFont="1" applyFill="1" applyBorder="1" applyAlignment="1">
      <alignment vertical="center" wrapText="1"/>
    </xf>
    <xf numFmtId="177" fontId="273" fillId="0" borderId="75" xfId="20514" applyNumberFormat="1" applyFont="1" applyFill="1" applyBorder="1" applyAlignment="1">
      <alignment horizontal="right" vertical="center" wrapText="1"/>
    </xf>
    <xf numFmtId="177" fontId="81" fillId="66" borderId="75" xfId="20514" applyNumberFormat="1" applyFont="1" applyFill="1" applyBorder="1" applyAlignment="1">
      <alignment horizontal="right" vertical="center" wrapText="1"/>
    </xf>
    <xf numFmtId="0" fontId="111" fillId="0" borderId="75" xfId="20517" applyFont="1" applyFill="1" applyBorder="1" applyAlignment="1">
      <alignment horizontal="justify" vertical="center" wrapText="1"/>
    </xf>
    <xf numFmtId="0" fontId="111" fillId="0" borderId="75"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81" fillId="0" borderId="75"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81" fillId="0" borderId="78" xfId="0" quotePrefix="1" applyFont="1" applyFill="1" applyBorder="1" applyAlignment="1">
      <alignment horizontal="center" vertical="center" wrapText="1"/>
    </xf>
    <xf numFmtId="3" fontId="81" fillId="0" borderId="75" xfId="20518" quotePrefix="1" applyNumberFormat="1" applyFont="1" applyFill="1" applyBorder="1" applyAlignment="1">
      <alignment horizontal="center" vertical="center" wrapText="1"/>
    </xf>
    <xf numFmtId="0" fontId="81" fillId="0" borderId="75" xfId="0" quotePrefix="1" applyFont="1" applyFill="1" applyBorder="1" applyAlignment="1">
      <alignment horizontal="center" vertical="center"/>
    </xf>
    <xf numFmtId="0" fontId="81" fillId="0" borderId="75" xfId="0" applyFont="1" applyFill="1" applyBorder="1" applyAlignment="1">
      <alignment horizontal="left" vertical="center" wrapText="1"/>
    </xf>
    <xf numFmtId="3" fontId="81" fillId="0" borderId="75" xfId="20518" applyNumberFormat="1" applyFont="1" applyFill="1" applyBorder="1" applyAlignment="1">
      <alignment horizontal="center" vertical="center" wrapText="1"/>
    </xf>
    <xf numFmtId="3" fontId="81" fillId="0" borderId="75" xfId="20518" applyNumberFormat="1" applyFont="1" applyFill="1" applyBorder="1" applyAlignment="1">
      <alignment horizontal="left" vertical="center" wrapText="1"/>
    </xf>
    <xf numFmtId="1" fontId="81" fillId="0" borderId="75" xfId="20518" applyNumberFormat="1" applyFont="1" applyFill="1" applyBorder="1" applyAlignment="1">
      <alignment horizontal="center" vertical="center" wrapText="1"/>
    </xf>
    <xf numFmtId="357" fontId="81" fillId="0" borderId="75" xfId="0" applyNumberFormat="1" applyFont="1" applyFill="1" applyBorder="1" applyAlignment="1">
      <alignment vertical="center" wrapText="1"/>
    </xf>
    <xf numFmtId="1" fontId="81" fillId="0" borderId="75" xfId="20518" applyNumberFormat="1" applyFont="1" applyFill="1" applyBorder="1" applyAlignment="1">
      <alignment horizontal="left" vertical="center" wrapText="1"/>
    </xf>
    <xf numFmtId="1" fontId="81" fillId="0" borderId="75" xfId="20518" quotePrefix="1" applyNumberFormat="1" applyFont="1" applyFill="1" applyBorder="1" applyAlignment="1">
      <alignment horizontal="center" vertical="center" wrapText="1"/>
    </xf>
    <xf numFmtId="1" fontId="81" fillId="0" borderId="75" xfId="20518" applyNumberFormat="1" applyFont="1" applyFill="1" applyBorder="1" applyAlignment="1">
      <alignment vertical="center" wrapText="1"/>
    </xf>
    <xf numFmtId="357" fontId="81" fillId="0" borderId="75" xfId="0" applyNumberFormat="1" applyFont="1" applyFill="1" applyBorder="1" applyAlignment="1">
      <alignment horizontal="left" vertical="center" wrapText="1"/>
    </xf>
    <xf numFmtId="357" fontId="81" fillId="0" borderId="75" xfId="0" applyNumberFormat="1" applyFont="1" applyFill="1" applyBorder="1" applyAlignment="1">
      <alignment horizontal="center" vertical="center" wrapText="1"/>
    </xf>
    <xf numFmtId="0" fontId="81" fillId="70" borderId="75" xfId="0" quotePrefix="1" applyFont="1" applyFill="1" applyBorder="1" applyAlignment="1">
      <alignment horizontal="center" vertical="center"/>
    </xf>
    <xf numFmtId="1" fontId="81" fillId="70" borderId="75" xfId="20518" applyNumberFormat="1" applyFont="1" applyFill="1" applyBorder="1" applyAlignment="1">
      <alignment vertical="center" wrapText="1"/>
    </xf>
    <xf numFmtId="0" fontId="81" fillId="70" borderId="75" xfId="0" applyFont="1" applyFill="1" applyBorder="1" applyAlignment="1">
      <alignment horizontal="center" vertical="center" wrapText="1"/>
    </xf>
    <xf numFmtId="0" fontId="81" fillId="70" borderId="75" xfId="0" quotePrefix="1" applyFont="1" applyFill="1" applyBorder="1" applyAlignment="1">
      <alignment horizontal="center" vertical="center" wrapText="1"/>
    </xf>
    <xf numFmtId="177" fontId="81" fillId="70" borderId="75" xfId="20514" applyNumberFormat="1" applyFont="1" applyFill="1" applyBorder="1" applyAlignment="1">
      <alignment horizontal="right" vertical="center" wrapText="1"/>
    </xf>
    <xf numFmtId="1" fontId="81" fillId="70" borderId="75" xfId="20518" applyNumberFormat="1" applyFont="1" applyFill="1" applyBorder="1" applyAlignment="1">
      <alignment horizontal="center" vertical="center" wrapText="1"/>
    </xf>
    <xf numFmtId="0" fontId="81" fillId="0" borderId="78" xfId="0" applyFont="1" applyFill="1" applyBorder="1" applyAlignment="1">
      <alignment vertical="center" wrapText="1"/>
    </xf>
    <xf numFmtId="177" fontId="0" fillId="0" borderId="0" xfId="0" applyNumberFormat="1" applyFont="1"/>
    <xf numFmtId="0" fontId="81" fillId="0" borderId="9" xfId="0" applyFont="1" applyFill="1" applyBorder="1" applyAlignment="1">
      <alignment horizontal="center" vertical="center" wrapText="1"/>
    </xf>
    <xf numFmtId="0" fontId="83" fillId="0" borderId="75" xfId="0" applyFont="1" applyFill="1" applyBorder="1"/>
    <xf numFmtId="171" fontId="83" fillId="0" borderId="75" xfId="20514" applyFont="1" applyFill="1" applyBorder="1"/>
    <xf numFmtId="369" fontId="83" fillId="0" borderId="75" xfId="20514" applyNumberFormat="1" applyFont="1" applyFill="1" applyBorder="1"/>
    <xf numFmtId="171" fontId="83" fillId="66" borderId="0" xfId="20514" applyFont="1" applyFill="1" applyAlignment="1">
      <alignment vertical="center"/>
    </xf>
    <xf numFmtId="171" fontId="83" fillId="0" borderId="68" xfId="20514" applyFont="1" applyBorder="1" applyAlignment="1">
      <alignment horizontal="center" vertical="center" wrapText="1"/>
    </xf>
    <xf numFmtId="171" fontId="264" fillId="0" borderId="75" xfId="20514" applyFont="1" applyFill="1" applyBorder="1"/>
    <xf numFmtId="0" fontId="264" fillId="0" borderId="75" xfId="0" applyFont="1" applyFill="1" applyBorder="1"/>
    <xf numFmtId="369" fontId="264" fillId="0" borderId="75" xfId="20514" applyNumberFormat="1" applyFont="1" applyFill="1" applyBorder="1"/>
    <xf numFmtId="0" fontId="81" fillId="0" borderId="75" xfId="0" quotePrefix="1" applyFont="1" applyFill="1" applyBorder="1" applyAlignment="1">
      <alignment horizontal="center" vertical="center" wrapText="1"/>
    </xf>
    <xf numFmtId="0" fontId="111" fillId="69" borderId="75" xfId="0" applyFont="1" applyFill="1" applyBorder="1" applyAlignment="1">
      <alignment horizontal="center" vertical="center" wrapText="1"/>
    </xf>
    <xf numFmtId="0" fontId="111" fillId="69" borderId="75" xfId="0" applyFont="1" applyFill="1" applyBorder="1" applyAlignment="1">
      <alignment vertical="center" wrapText="1"/>
    </xf>
    <xf numFmtId="177" fontId="111" fillId="69" borderId="75" xfId="20514" applyNumberFormat="1" applyFont="1" applyFill="1" applyBorder="1" applyAlignment="1">
      <alignment horizontal="right" vertical="center" wrapText="1"/>
    </xf>
    <xf numFmtId="171" fontId="81" fillId="0" borderId="75" xfId="20514" applyFont="1" applyFill="1" applyBorder="1" applyAlignment="1">
      <alignment horizontal="right" vertical="center" wrapText="1"/>
    </xf>
    <xf numFmtId="171" fontId="83" fillId="0" borderId="75" xfId="0" applyNumberFormat="1" applyFont="1" applyFill="1" applyBorder="1"/>
    <xf numFmtId="171" fontId="264" fillId="0" borderId="75" xfId="0" applyNumberFormat="1" applyFont="1" applyFill="1" applyBorder="1"/>
    <xf numFmtId="0" fontId="111" fillId="68" borderId="75" xfId="0" applyFont="1" applyFill="1" applyBorder="1" applyAlignment="1">
      <alignment horizontal="center" vertical="center" wrapText="1"/>
    </xf>
    <xf numFmtId="0" fontId="111" fillId="68" borderId="75" xfId="0" applyFont="1" applyFill="1" applyBorder="1" applyAlignment="1">
      <alignment vertical="center" wrapText="1"/>
    </xf>
    <xf numFmtId="0" fontId="264" fillId="68" borderId="75" xfId="0" applyFont="1" applyFill="1" applyBorder="1"/>
    <xf numFmtId="171" fontId="264" fillId="68" borderId="75" xfId="20514" applyFont="1" applyFill="1" applyBorder="1"/>
    <xf numFmtId="169" fontId="264" fillId="68" borderId="75" xfId="0" applyNumberFormat="1" applyFont="1" applyFill="1" applyBorder="1"/>
    <xf numFmtId="369" fontId="36" fillId="0" borderId="75" xfId="20514" applyNumberFormat="1" applyFont="1" applyFill="1" applyBorder="1" applyAlignment="1">
      <alignment horizontal="right" vertical="center" wrapText="1"/>
    </xf>
    <xf numFmtId="3" fontId="272" fillId="69" borderId="75" xfId="20518" applyNumberFormat="1" applyFont="1" applyFill="1" applyBorder="1" applyAlignment="1">
      <alignment horizontal="center" vertical="center" wrapText="1"/>
    </xf>
    <xf numFmtId="169" fontId="83" fillId="66" borderId="0" xfId="0" applyNumberFormat="1" applyFont="1" applyFill="1" applyAlignment="1">
      <alignment vertical="center"/>
    </xf>
    <xf numFmtId="0" fontId="83" fillId="66" borderId="68" xfId="0" applyFont="1" applyFill="1" applyBorder="1" applyAlignment="1">
      <alignment horizontal="left" vertical="center" wrapText="1"/>
    </xf>
    <xf numFmtId="0" fontId="83" fillId="66" borderId="68" xfId="0" quotePrefix="1" applyFont="1" applyFill="1" applyBorder="1" applyAlignment="1">
      <alignment horizontal="left" vertical="center" wrapText="1"/>
    </xf>
    <xf numFmtId="0" fontId="264" fillId="66" borderId="68" xfId="0" applyFont="1" applyFill="1" applyBorder="1" applyAlignment="1">
      <alignment horizontal="left" vertical="center"/>
    </xf>
    <xf numFmtId="0" fontId="36" fillId="66" borderId="75" xfId="0" applyFont="1" applyFill="1" applyBorder="1" applyAlignment="1">
      <alignment horizontal="center" vertical="center" wrapText="1"/>
    </xf>
    <xf numFmtId="171" fontId="261" fillId="0" borderId="76" xfId="20514" applyNumberFormat="1" applyFont="1" applyFill="1" applyBorder="1" applyAlignment="1">
      <alignment horizontal="center" vertical="center" wrapText="1"/>
    </xf>
    <xf numFmtId="0" fontId="261" fillId="66" borderId="78" xfId="20516" applyFont="1" applyFill="1" applyBorder="1" applyAlignment="1">
      <alignment horizontal="center" vertical="center" wrapText="1"/>
    </xf>
    <xf numFmtId="3" fontId="261" fillId="66" borderId="78" xfId="0" applyNumberFormat="1" applyFont="1" applyFill="1" applyBorder="1" applyAlignment="1">
      <alignment horizontal="center" vertical="center" wrapText="1"/>
    </xf>
    <xf numFmtId="171" fontId="261" fillId="0" borderId="78" xfId="20514" applyNumberFormat="1" applyFont="1" applyFill="1" applyBorder="1" applyAlignment="1">
      <alignment horizontal="right" vertical="center" wrapText="1"/>
    </xf>
    <xf numFmtId="0" fontId="261" fillId="69" borderId="78" xfId="20516" applyFont="1" applyFill="1" applyBorder="1" applyAlignment="1">
      <alignment horizontal="center" vertical="center" wrapText="1"/>
    </xf>
    <xf numFmtId="3" fontId="261" fillId="69" borderId="78"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71"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71"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71" fontId="274"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1" borderId="21" xfId="20514" applyNumberFormat="1" applyFont="1" applyFill="1" applyBorder="1" applyAlignment="1">
      <alignment horizontal="right" vertical="center"/>
    </xf>
    <xf numFmtId="171"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71" fontId="260" fillId="0" borderId="61" xfId="20514" quotePrefix="1" applyNumberFormat="1" applyFont="1" applyFill="1" applyBorder="1" applyAlignment="1">
      <alignment horizontal="right" vertical="center"/>
    </xf>
    <xf numFmtId="0" fontId="260" fillId="66" borderId="80" xfId="0" applyFont="1" applyFill="1" applyBorder="1" applyAlignment="1">
      <alignment horizontal="center" vertical="center"/>
    </xf>
    <xf numFmtId="0" fontId="36" fillId="66" borderId="80" xfId="4615" applyFont="1" applyFill="1" applyBorder="1" applyAlignment="1">
      <alignment horizontal="left" vertical="center" wrapText="1"/>
    </xf>
    <xf numFmtId="0" fontId="36" fillId="66" borderId="80" xfId="4615" applyFont="1" applyFill="1" applyBorder="1" applyAlignment="1">
      <alignment horizontal="center" vertical="center" wrapText="1"/>
    </xf>
    <xf numFmtId="3" fontId="260" fillId="66" borderId="80" xfId="20514" applyNumberFormat="1" applyFont="1" applyFill="1" applyBorder="1" applyAlignment="1">
      <alignment horizontal="right" vertical="center"/>
    </xf>
    <xf numFmtId="171" fontId="260" fillId="0" borderId="80" xfId="20514" applyNumberFormat="1" applyFont="1" applyFill="1" applyBorder="1" applyAlignment="1">
      <alignment horizontal="right" vertical="center"/>
    </xf>
    <xf numFmtId="0" fontId="36" fillId="0" borderId="80" xfId="20514" applyNumberFormat="1" applyFont="1" applyFill="1" applyBorder="1" applyAlignment="1">
      <alignment horizontal="right" vertical="center"/>
    </xf>
    <xf numFmtId="171" fontId="260" fillId="0" borderId="80" xfId="20514" quotePrefix="1" applyNumberFormat="1" applyFont="1" applyFill="1" applyBorder="1" applyAlignment="1">
      <alignment horizontal="right" vertical="center"/>
    </xf>
    <xf numFmtId="0" fontId="262" fillId="66" borderId="80" xfId="0" applyFont="1" applyFill="1" applyBorder="1" applyAlignment="1">
      <alignment horizontal="center" vertical="center"/>
    </xf>
    <xf numFmtId="0" fontId="262" fillId="66" borderId="80" xfId="0" applyFont="1" applyFill="1" applyBorder="1" applyAlignment="1">
      <alignment vertical="center" wrapText="1"/>
    </xf>
    <xf numFmtId="0" fontId="262" fillId="66" borderId="80" xfId="0" applyFont="1" applyFill="1" applyBorder="1" applyAlignment="1">
      <alignment horizontal="center" vertical="center" wrapText="1"/>
    </xf>
    <xf numFmtId="3" fontId="262" fillId="66" borderId="80" xfId="20514" applyNumberFormat="1" applyFont="1" applyFill="1" applyBorder="1" applyAlignment="1">
      <alignment horizontal="right" vertical="center"/>
    </xf>
    <xf numFmtId="171" fontId="262" fillId="0" borderId="80" xfId="20514" applyNumberFormat="1" applyFont="1" applyFill="1" applyBorder="1" applyAlignment="1">
      <alignment horizontal="right" vertical="center"/>
    </xf>
    <xf numFmtId="0" fontId="262" fillId="0" borderId="80" xfId="20514" applyNumberFormat="1" applyFont="1" applyFill="1" applyBorder="1" applyAlignment="1">
      <alignment horizontal="right" vertical="center"/>
    </xf>
    <xf numFmtId="0" fontId="260" fillId="66" borderId="80" xfId="0" quotePrefix="1" applyFont="1" applyFill="1" applyBorder="1" applyAlignment="1">
      <alignment horizontal="center" vertical="center"/>
    </xf>
    <xf numFmtId="0" fontId="260" fillId="66" borderId="80" xfId="0" applyFont="1" applyFill="1" applyBorder="1" applyAlignment="1">
      <alignment vertical="center" wrapText="1"/>
    </xf>
    <xf numFmtId="0" fontId="260" fillId="66" borderId="80" xfId="0" applyFont="1" applyFill="1" applyBorder="1" applyAlignment="1">
      <alignment horizontal="center" vertical="center" wrapText="1"/>
    </xf>
    <xf numFmtId="0" fontId="260" fillId="0" borderId="80" xfId="20514" quotePrefix="1" applyNumberFormat="1" applyFont="1" applyFill="1" applyBorder="1" applyAlignment="1">
      <alignment horizontal="right" vertical="center"/>
    </xf>
    <xf numFmtId="177" fontId="36" fillId="66" borderId="80" xfId="20514" applyNumberFormat="1" applyFont="1" applyFill="1" applyBorder="1" applyAlignment="1">
      <alignment horizontal="left" vertical="center" wrapText="1"/>
    </xf>
    <xf numFmtId="177" fontId="36" fillId="66" borderId="80" xfId="20514" applyNumberFormat="1"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80" xfId="0" applyFont="1" applyFill="1" applyBorder="1" applyAlignment="1">
      <alignment vertical="center" wrapText="1"/>
    </xf>
    <xf numFmtId="3" fontId="260" fillId="66" borderId="80" xfId="0" applyNumberFormat="1" applyFont="1" applyFill="1" applyBorder="1" applyAlignment="1">
      <alignment horizontal="right" vertical="center"/>
    </xf>
    <xf numFmtId="171" fontId="260" fillId="0" borderId="75" xfId="20514" applyNumberFormat="1" applyFont="1" applyFill="1" applyBorder="1" applyAlignment="1">
      <alignment horizontal="right"/>
    </xf>
    <xf numFmtId="0" fontId="261" fillId="69" borderId="75" xfId="20516" applyFont="1" applyFill="1" applyBorder="1" applyAlignment="1">
      <alignment horizontal="left" vertical="center" wrapText="1"/>
    </xf>
    <xf numFmtId="0" fontId="261" fillId="69" borderId="75" xfId="20516" applyFont="1" applyFill="1" applyBorder="1" applyAlignment="1">
      <alignment horizontal="center" vertical="center" wrapText="1"/>
    </xf>
    <xf numFmtId="3" fontId="262" fillId="69" borderId="75" xfId="0" applyNumberFormat="1" applyFont="1" applyFill="1" applyBorder="1"/>
    <xf numFmtId="0" fontId="261" fillId="0" borderId="80" xfId="2612" applyFont="1" applyBorder="1" applyAlignment="1">
      <alignment horizontal="center" vertical="center"/>
    </xf>
    <xf numFmtId="3" fontId="261" fillId="0" borderId="75" xfId="2612" applyNumberFormat="1" applyFont="1" applyFill="1" applyBorder="1" applyAlignment="1">
      <alignment horizontal="right" vertical="center"/>
    </xf>
    <xf numFmtId="171" fontId="260" fillId="0" borderId="75" xfId="20514" applyNumberFormat="1" applyFont="1" applyFill="1" applyBorder="1" applyAlignment="1">
      <alignment horizontal="right" vertical="center"/>
    </xf>
    <xf numFmtId="171" fontId="260" fillId="0" borderId="75" xfId="20514" quotePrefix="1" applyNumberFormat="1" applyFont="1" applyFill="1" applyBorder="1" applyAlignment="1">
      <alignment horizontal="right" vertical="center"/>
    </xf>
    <xf numFmtId="3" fontId="261" fillId="0" borderId="75" xfId="1674" applyNumberFormat="1" applyFont="1" applyFill="1" applyBorder="1" applyAlignment="1" applyProtection="1">
      <alignment horizontal="right" vertical="center" wrapText="1"/>
      <protection locked="0"/>
    </xf>
    <xf numFmtId="171" fontId="262" fillId="0" borderId="75" xfId="20514" applyNumberFormat="1" applyFont="1" applyFill="1" applyBorder="1" applyAlignment="1">
      <alignment horizontal="right" vertical="center"/>
    </xf>
    <xf numFmtId="0" fontId="261" fillId="0" borderId="80" xfId="2612" applyFont="1" applyFill="1" applyBorder="1" applyAlignment="1">
      <alignment horizontal="center" vertical="center"/>
    </xf>
    <xf numFmtId="0" fontId="36" fillId="0" borderId="75" xfId="0" applyFont="1" applyFill="1" applyBorder="1" applyAlignment="1">
      <alignment horizontal="center" vertical="center" wrapText="1"/>
    </xf>
    <xf numFmtId="3" fontId="261" fillId="0" borderId="75" xfId="2612" applyNumberFormat="1" applyFont="1" applyBorder="1" applyAlignment="1">
      <alignment horizontal="right" vertical="center"/>
    </xf>
    <xf numFmtId="171" fontId="261" fillId="0" borderId="75" xfId="20514" applyNumberFormat="1" applyFont="1" applyFill="1" applyBorder="1" applyAlignment="1">
      <alignment horizontal="right" vertical="center"/>
    </xf>
    <xf numFmtId="0" fontId="36" fillId="0" borderId="80" xfId="2612" applyFont="1" applyBorder="1" applyAlignment="1">
      <alignment horizontal="center" vertical="center"/>
    </xf>
    <xf numFmtId="0" fontId="36" fillId="0" borderId="75" xfId="20513" applyFont="1" applyFill="1" applyBorder="1" applyAlignment="1">
      <alignment horizontal="left" vertical="center" wrapText="1"/>
    </xf>
    <xf numFmtId="0" fontId="36" fillId="0" borderId="75" xfId="20513" applyFont="1" applyFill="1" applyBorder="1" applyAlignment="1">
      <alignment horizontal="center" vertical="center" wrapText="1"/>
    </xf>
    <xf numFmtId="3" fontId="36" fillId="0" borderId="75" xfId="2612" applyNumberFormat="1" applyFont="1" applyFill="1" applyBorder="1" applyAlignment="1">
      <alignment horizontal="right" vertical="center" wrapText="1"/>
    </xf>
    <xf numFmtId="3" fontId="36" fillId="0" borderId="75" xfId="1674" applyNumberFormat="1" applyFont="1" applyFill="1" applyBorder="1" applyAlignment="1" applyProtection="1">
      <alignment horizontal="right" vertical="center" wrapText="1"/>
      <protection locked="0"/>
    </xf>
    <xf numFmtId="0" fontId="261" fillId="0" borderId="75" xfId="2612" quotePrefix="1" applyFont="1" applyFill="1" applyBorder="1" applyAlignment="1">
      <alignment horizontal="center" vertical="center"/>
    </xf>
    <xf numFmtId="0" fontId="36" fillId="0" borderId="75" xfId="2612" applyFont="1" applyFill="1" applyBorder="1" applyAlignment="1">
      <alignment horizontal="center" vertical="center" wrapText="1"/>
    </xf>
    <xf numFmtId="0" fontId="260" fillId="0" borderId="75" xfId="0" applyFont="1" applyFill="1" applyBorder="1"/>
    <xf numFmtId="0" fontId="260" fillId="0" borderId="75" xfId="20514" applyNumberFormat="1" applyFont="1" applyFill="1" applyBorder="1" applyAlignment="1">
      <alignment horizontal="right"/>
    </xf>
    <xf numFmtId="171" fontId="260" fillId="0" borderId="75" xfId="20514" quotePrefix="1" applyNumberFormat="1" applyFont="1" applyFill="1" applyBorder="1" applyAlignment="1">
      <alignment horizontal="right"/>
    </xf>
    <xf numFmtId="0" fontId="36" fillId="0" borderId="75" xfId="2612" quotePrefix="1" applyFont="1" applyFill="1" applyBorder="1" applyAlignment="1">
      <alignment horizontal="center" vertical="center"/>
    </xf>
    <xf numFmtId="177" fontId="36" fillId="0" borderId="75" xfId="20514" applyNumberFormat="1" applyFont="1" applyFill="1" applyBorder="1" applyAlignment="1">
      <alignment horizontal="left" vertical="center" wrapText="1"/>
    </xf>
    <xf numFmtId="177" fontId="36" fillId="0" borderId="75" xfId="20514" applyNumberFormat="1" applyFont="1" applyFill="1" applyBorder="1" applyAlignment="1">
      <alignment horizontal="center" vertical="center" wrapText="1"/>
    </xf>
    <xf numFmtId="0" fontId="36" fillId="0" borderId="75" xfId="0" applyFont="1" applyFill="1" applyBorder="1" applyAlignment="1">
      <alignment vertical="center" wrapText="1"/>
    </xf>
    <xf numFmtId="0" fontId="261" fillId="66" borderId="75" xfId="0" applyFont="1" applyFill="1" applyBorder="1" applyAlignment="1">
      <alignment vertical="center" wrapText="1"/>
    </xf>
    <xf numFmtId="0" fontId="261" fillId="0" borderId="75" xfId="20513" applyFont="1" applyFill="1" applyBorder="1" applyAlignment="1">
      <alignment horizontal="left" vertical="center" wrapText="1"/>
    </xf>
    <xf numFmtId="0" fontId="261" fillId="0" borderId="75" xfId="2612" applyFont="1" applyFill="1" applyBorder="1" applyAlignment="1">
      <alignment horizontal="center" vertical="center"/>
    </xf>
    <xf numFmtId="0" fontId="261" fillId="0" borderId="75" xfId="2612" applyFont="1" applyFill="1" applyBorder="1" applyAlignment="1">
      <alignment horizontal="justify" vertical="center" wrapText="1"/>
    </xf>
    <xf numFmtId="0" fontId="261" fillId="0" borderId="75" xfId="2612" applyFont="1" applyFill="1" applyBorder="1" applyAlignment="1">
      <alignment horizontal="center" vertical="center" wrapText="1"/>
    </xf>
    <xf numFmtId="3" fontId="261" fillId="0" borderId="75" xfId="2612" applyNumberFormat="1" applyFont="1" applyFill="1" applyBorder="1" applyAlignment="1">
      <alignment horizontal="right" vertical="center" wrapText="1"/>
    </xf>
    <xf numFmtId="171" fontId="261" fillId="0" borderId="75" xfId="20514" applyNumberFormat="1" applyFont="1" applyFill="1" applyBorder="1" applyAlignment="1">
      <alignment horizontal="right" vertical="center" wrapText="1"/>
    </xf>
    <xf numFmtId="0" fontId="261" fillId="0" borderId="75" xfId="20514" applyNumberFormat="1" applyFont="1" applyFill="1" applyBorder="1" applyAlignment="1">
      <alignment horizontal="right" vertical="center" wrapText="1"/>
    </xf>
    <xf numFmtId="171" fontId="261" fillId="0" borderId="75" xfId="2612" applyNumberFormat="1" applyFont="1" applyFill="1" applyBorder="1" applyAlignment="1">
      <alignment horizontal="right" vertical="center" wrapText="1"/>
    </xf>
    <xf numFmtId="171" fontId="261" fillId="0" borderId="75" xfId="20514" applyFont="1" applyFill="1" applyBorder="1" applyAlignment="1">
      <alignment horizontal="right" vertical="center" wrapText="1"/>
    </xf>
    <xf numFmtId="0" fontId="261" fillId="0" borderId="75" xfId="20513" applyFont="1" applyFill="1" applyBorder="1" applyAlignment="1">
      <alignment horizontal="center" vertical="center" wrapText="1"/>
    </xf>
    <xf numFmtId="171" fontId="262" fillId="0" borderId="75" xfId="20514" quotePrefix="1" applyNumberFormat="1" applyFont="1" applyFill="1" applyBorder="1" applyAlignment="1">
      <alignment horizontal="right"/>
    </xf>
    <xf numFmtId="0" fontId="261" fillId="66" borderId="76" xfId="0" applyFont="1" applyFill="1" applyBorder="1" applyAlignment="1">
      <alignment vertical="center" wrapText="1"/>
    </xf>
    <xf numFmtId="0" fontId="261" fillId="0" borderId="76" xfId="0" applyFont="1" applyFill="1" applyBorder="1" applyAlignment="1">
      <alignment horizontal="center" vertical="center" wrapText="1"/>
    </xf>
    <xf numFmtId="177" fontId="83" fillId="0" borderId="0" xfId="0" applyNumberFormat="1" applyFont="1" applyFill="1"/>
    <xf numFmtId="0" fontId="269" fillId="69" borderId="75" xfId="0" applyFont="1" applyFill="1" applyBorder="1" applyAlignment="1">
      <alignment horizontal="center" vertical="center"/>
    </xf>
    <xf numFmtId="169" fontId="269" fillId="69" borderId="75" xfId="0" applyNumberFormat="1" applyFont="1" applyFill="1" applyBorder="1" applyAlignment="1">
      <alignment horizontal="center" vertical="center"/>
    </xf>
    <xf numFmtId="0" fontId="264" fillId="0" borderId="75" xfId="20518" applyFont="1" applyBorder="1" applyAlignment="1">
      <alignment horizontal="center" vertical="center" wrapText="1"/>
    </xf>
    <xf numFmtId="3" fontId="264" fillId="0" borderId="75"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71" fontId="261" fillId="0" borderId="68" xfId="20514" applyFont="1" applyFill="1" applyBorder="1" applyAlignment="1">
      <alignment horizontal="center" vertical="center"/>
    </xf>
    <xf numFmtId="0" fontId="261"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65" fillId="0" borderId="51" xfId="0" applyFont="1" applyBorder="1" applyAlignment="1">
      <alignment horizontal="center" vertical="center" wrapText="1"/>
    </xf>
    <xf numFmtId="0" fontId="81" fillId="0" borderId="78"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81" fillId="0" borderId="78"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6" xfId="0" applyFont="1" applyFill="1" applyBorder="1" applyAlignment="1">
      <alignment horizontal="center" vertical="center" wrapText="1"/>
    </xf>
    <xf numFmtId="0" fontId="81" fillId="66" borderId="9" xfId="0" applyFont="1" applyFill="1" applyBorder="1" applyAlignment="1">
      <alignment horizontal="center" vertical="center" wrapText="1"/>
    </xf>
    <xf numFmtId="0" fontId="81" fillId="0" borderId="75" xfId="20517" applyFont="1" applyFill="1" applyBorder="1" applyAlignment="1">
      <alignment horizontal="center" vertical="center" wrapText="1"/>
    </xf>
    <xf numFmtId="0" fontId="81" fillId="66" borderId="6" xfId="0" applyFont="1" applyFill="1" applyBorder="1" applyAlignment="1">
      <alignment horizontal="center" vertical="center" wrapText="1"/>
    </xf>
    <xf numFmtId="0" fontId="272" fillId="0" borderId="0" xfId="0" applyFont="1" applyFill="1" applyAlignment="1">
      <alignment horizontal="center" vertical="center"/>
    </xf>
    <xf numFmtId="0" fontId="264" fillId="0" borderId="0" xfId="0" applyFont="1" applyFill="1" applyAlignment="1">
      <alignment horizontal="center" vertical="center"/>
    </xf>
    <xf numFmtId="49" fontId="264" fillId="0" borderId="68" xfId="20518" applyNumberFormat="1" applyFont="1" applyBorder="1" applyAlignment="1">
      <alignment horizontal="center" vertical="center" wrapText="1"/>
    </xf>
    <xf numFmtId="3"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271" fillId="0" borderId="68" xfId="1" applyFont="1" applyBorder="1" applyAlignment="1">
      <alignment horizontal="center" vertical="center" wrapText="1"/>
    </xf>
    <xf numFmtId="171" fontId="83" fillId="66" borderId="8" xfId="20514" applyFont="1" applyFill="1" applyBorder="1" applyAlignment="1">
      <alignment horizontal="center" vertical="center"/>
    </xf>
    <xf numFmtId="0" fontId="81" fillId="66" borderId="69" xfId="0" applyFont="1" applyFill="1" applyBorder="1" applyAlignment="1">
      <alignment horizontal="center" vertical="center" wrapText="1"/>
    </xf>
    <xf numFmtId="171" fontId="264" fillId="0" borderId="69" xfId="20514" applyFont="1" applyBorder="1" applyAlignment="1">
      <alignment horizontal="center" vertical="center" wrapText="1"/>
    </xf>
    <xf numFmtId="171" fontId="264" fillId="0" borderId="9" xfId="20514"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0" fontId="81" fillId="70" borderId="78"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81" fillId="0" borderId="78" xfId="0" quotePrefix="1"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111" fillId="0" borderId="76" xfId="0"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264" fillId="0" borderId="78"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8"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79"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8"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5" xfId="0" applyFont="1" applyFill="1" applyBorder="1" applyAlignment="1">
      <alignment horizontal="center" vertical="center" wrapText="1"/>
    </xf>
    <xf numFmtId="0" fontId="264" fillId="66" borderId="78" xfId="0" applyFont="1" applyFill="1" applyBorder="1" applyAlignment="1">
      <alignment horizontal="center" vertical="center" wrapText="1"/>
    </xf>
    <xf numFmtId="0" fontId="264" fillId="66" borderId="6" xfId="0" applyFont="1" applyFill="1" applyBorder="1" applyAlignment="1">
      <alignment horizontal="center" vertical="center" wrapText="1"/>
    </xf>
    <xf numFmtId="171" fontId="261" fillId="66" borderId="68" xfId="20514" applyFont="1" applyFill="1" applyBorder="1" applyAlignment="1">
      <alignment horizontal="center" vertical="center"/>
    </xf>
    <xf numFmtId="0" fontId="83" fillId="72" borderId="68" xfId="0" quotePrefix="1" applyFont="1" applyFill="1" applyBorder="1" applyAlignment="1">
      <alignment horizontal="center" vertical="center"/>
    </xf>
    <xf numFmtId="0" fontId="83" fillId="72" borderId="68" xfId="0" applyFont="1" applyFill="1" applyBorder="1" applyAlignment="1">
      <alignment horizontal="left" vertical="center" wrapText="1"/>
    </xf>
    <xf numFmtId="0" fontId="81" fillId="72" borderId="69" xfId="0" applyFont="1" applyFill="1" applyBorder="1" applyAlignment="1">
      <alignment horizontal="center" vertical="center" wrapText="1"/>
    </xf>
    <xf numFmtId="0" fontId="83" fillId="72" borderId="68" xfId="0" applyFont="1" applyFill="1" applyBorder="1" applyAlignment="1">
      <alignment horizontal="center" vertical="center" wrapText="1"/>
    </xf>
    <xf numFmtId="0" fontId="36" fillId="72" borderId="68" xfId="0" applyFont="1" applyFill="1" applyBorder="1" applyAlignment="1">
      <alignment horizontal="center" vertical="center"/>
    </xf>
    <xf numFmtId="0" fontId="81" fillId="72" borderId="68" xfId="0" applyFont="1" applyFill="1" applyBorder="1" applyAlignment="1">
      <alignment horizontal="center" vertical="center"/>
    </xf>
    <xf numFmtId="0" fontId="268" fillId="72" borderId="68" xfId="0" applyFont="1" applyFill="1" applyBorder="1" applyAlignment="1">
      <alignment horizontal="center" vertical="center" wrapText="1"/>
    </xf>
    <xf numFmtId="245" fontId="83" fillId="72" borderId="68" xfId="20514" applyNumberFormat="1" applyFont="1" applyFill="1" applyBorder="1" applyAlignment="1">
      <alignment horizontal="right" vertical="center" wrapText="1"/>
    </xf>
    <xf numFmtId="0" fontId="83" fillId="72" borderId="68" xfId="0" applyFont="1" applyFill="1" applyBorder="1" applyAlignment="1">
      <alignment horizontal="center" vertical="center"/>
    </xf>
    <xf numFmtId="171" fontId="83" fillId="72" borderId="68" xfId="20514" applyFont="1" applyFill="1" applyBorder="1" applyAlignment="1">
      <alignment horizontal="center" vertical="center"/>
    </xf>
    <xf numFmtId="171" fontId="83" fillId="72" borderId="68" xfId="20514" applyFont="1" applyFill="1" applyBorder="1" applyAlignment="1">
      <alignment vertical="center"/>
    </xf>
    <xf numFmtId="171" fontId="36" fillId="72" borderId="68" xfId="20514" applyFont="1" applyFill="1" applyBorder="1" applyAlignment="1">
      <alignment horizontal="center" vertical="center"/>
    </xf>
    <xf numFmtId="0" fontId="83" fillId="72" borderId="0" xfId="0" applyFont="1" applyFill="1" applyAlignment="1">
      <alignment horizontal="center" vertical="center"/>
    </xf>
    <xf numFmtId="0" fontId="83" fillId="72" borderId="0" xfId="0" applyFont="1" applyFill="1"/>
    <xf numFmtId="0" fontId="81" fillId="72" borderId="9" xfId="0" applyFont="1" applyFill="1" applyBorder="1" applyAlignment="1">
      <alignment horizontal="center" vertical="center" wrapText="1"/>
    </xf>
    <xf numFmtId="171" fontId="83" fillId="72" borderId="68" xfId="20514" applyFont="1" applyFill="1" applyBorder="1" applyAlignment="1">
      <alignment horizontal="right" vertical="center" wrapText="1"/>
    </xf>
  </cellXfs>
  <cellStyles count="20526">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ien giang 2" xfId="148"/>
    <cellStyle name="_Book1_Kh ql62 (2010) 11-09" xfId="145"/>
    <cellStyle name="_Book1_KH TPCP vung TNB (03-1-2012)" xfId="146"/>
    <cellStyle name="_Book1_Khung 2012" xfId="147"/>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oCauPhi (version 1)" xfId="320"/>
    <cellStyle name="_KT (2)_2_TG-TH_Copy of 05-12  KH trung han 2016-2020 - Liem Thinh edited (1)" xfId="321"/>
    <cellStyle name="_KT (2)_2_TG-TH_ChiHuong_ApGia" xfId="319"/>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TGT 2003" xfId="330"/>
    <cellStyle name="_KT (2)_2_TG-TH_giao KH 2011 ngay 10-12-2010" xfId="329"/>
    <cellStyle name="_KT (2)_2_TG-TH_Ha Nam" xfId="5708"/>
    <cellStyle name="_KT (2)_2_TG-TH_KE KHAI THUE GTGT 2004" xfId="331"/>
    <cellStyle name="_KT (2)_2_TG-TH_KE KHAI THUE GTGT 2004_BCTC2004" xfId="332"/>
    <cellStyle name="_KT (2)_2_TG-TH_kien giang 2" xfId="335"/>
    <cellStyle name="_KT (2)_2_TG-TH_KH TPCP 2016-2020 (tong hop)" xfId="333"/>
    <cellStyle name="_KT (2)_2_TG-TH_KH TPCP vung TNB (03-1-2012)" xfId="334"/>
    <cellStyle name="_KT (2)_2_TG-TH_Lora-tungchau" xfId="336"/>
    <cellStyle name="_KT (2)_2_TG-TH_Luy ke von ung nam 2011 -Thoa gui ngay 12-8-2012" xfId="337"/>
    <cellStyle name="_KT (2)_2_TG-TH_N-X-T-04" xfId="339"/>
    <cellStyle name="_KT (2)_2_TG-TH_NhanCong" xfId="338"/>
    <cellStyle name="_KT (2)_2_TG-TH_PGIA-phieu tham tra Kho bac" xfId="340"/>
    <cellStyle name="_KT (2)_2_TG-TH_PT02-02" xfId="342"/>
    <cellStyle name="_KT (2)_2_TG-TH_PT02-02_Book1" xfId="343"/>
    <cellStyle name="_KT (2)_2_TG-TH_PT02-03" xfId="344"/>
    <cellStyle name="_KT (2)_2_TG-TH_PT02-03_Book1" xfId="345"/>
    <cellStyle name="_KT (2)_2_TG-TH_phu luc tong ket tinh hinh TH giai doan 03-10 (ngay 30)" xfId="341"/>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ien giang 2" xfId="354"/>
    <cellStyle name="_KT (2)_2_TG-TH_ÿÿÿÿÿ_KH TPCP vung TNB (03-1-2012)" xfId="353"/>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ien giang 2" xfId="372"/>
    <cellStyle name="_KT (2)_3_TG-TH_Book1_KH TPCP vung TNB (03-1-2012)" xfId="371"/>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TGT 2003" xfId="379"/>
    <cellStyle name="_KT (2)_3_TG-TH_giao KH 2011 ngay 10-12-2010" xfId="378"/>
    <cellStyle name="_KT (2)_3_TG-TH_Ha Nam" xfId="5711"/>
    <cellStyle name="_KT (2)_3_TG-TH_KE KHAI THUE GTGT 2004" xfId="380"/>
    <cellStyle name="_KT (2)_3_TG-TH_KE KHAI THUE GTGT 2004_BCTC2004" xfId="381"/>
    <cellStyle name="_KT (2)_3_TG-TH_kien giang 2" xfId="384"/>
    <cellStyle name="_KT (2)_3_TG-TH_KH TPCP 2016-2020 (tong hop)" xfId="382"/>
    <cellStyle name="_KT (2)_3_TG-TH_KH TPCP vung TNB (03-1-2012)" xfId="383"/>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ien giang 2" xfId="408"/>
    <cellStyle name="_KT (2)_3_TG-TH_ÿÿÿÿÿ_KH TPCP vung TNB (03-1-2012)" xfId="407"/>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oCauPhi (version 1)" xfId="460"/>
    <cellStyle name="_KT (2)_4_Copy of 05-12  KH trung han 2016-2020 - Liem Thinh edited (1)" xfId="461"/>
    <cellStyle name="_KT (2)_4_ChiHuong_ApGia" xfId="459"/>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TGT 2003" xfId="470"/>
    <cellStyle name="_KT (2)_4_giao KH 2011 ngay 10-12-2010" xfId="469"/>
    <cellStyle name="_KT (2)_4_Ha Nam" xfId="5712"/>
    <cellStyle name="_KT (2)_4_KE KHAI THUE GTGT 2004" xfId="471"/>
    <cellStyle name="_KT (2)_4_KE KHAI THUE GTGT 2004_BCTC2004" xfId="472"/>
    <cellStyle name="_KT (2)_4_kien giang 2" xfId="475"/>
    <cellStyle name="_KT (2)_4_KH TPCP 2016-2020 (tong hop)" xfId="473"/>
    <cellStyle name="_KT (2)_4_KH TPCP vung TNB (03-1-2012)" xfId="474"/>
    <cellStyle name="_KT (2)_4_Lora-tungchau" xfId="476"/>
    <cellStyle name="_KT (2)_4_Luy ke von ung nam 2011 -Thoa gui ngay 12-8-2012" xfId="477"/>
    <cellStyle name="_KT (2)_4_N-X-T-04" xfId="479"/>
    <cellStyle name="_KT (2)_4_NhanCong" xfId="478"/>
    <cellStyle name="_KT (2)_4_PGIA-phieu tham tra Kho bac" xfId="480"/>
    <cellStyle name="_KT (2)_4_PT02-02" xfId="482"/>
    <cellStyle name="_KT (2)_4_PT02-02_Book1" xfId="483"/>
    <cellStyle name="_KT (2)_4_PT02-03" xfId="484"/>
    <cellStyle name="_KT (2)_4_PT02-03_Book1" xfId="485"/>
    <cellStyle name="_KT (2)_4_phu luc tong ket tinh hinh TH giai doan 03-10 (ngay 30)" xfId="481"/>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ien giang 2" xfId="495"/>
    <cellStyle name="_KT (2)_4_ÿÿÿÿÿ_KH TPCP vung TNB (03-1-2012)" xfId="494"/>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oCauPhi (version 1)" xfId="547"/>
    <cellStyle name="_KT (2)_5_Copy of 05-12  KH trung han 2016-2020 - Liem Thinh edited (1)" xfId="548"/>
    <cellStyle name="_KT (2)_5_ChiHuong_ApGia" xfId="546"/>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TGT 2003" xfId="557"/>
    <cellStyle name="_KT (2)_5_giao KH 2011 ngay 10-12-2010" xfId="556"/>
    <cellStyle name="_KT (2)_5_Ha Nam" xfId="5715"/>
    <cellStyle name="_KT (2)_5_KE KHAI THUE GTGT 2004" xfId="558"/>
    <cellStyle name="_KT (2)_5_KE KHAI THUE GTGT 2004_BCTC2004" xfId="559"/>
    <cellStyle name="_KT (2)_5_kien giang 2" xfId="562"/>
    <cellStyle name="_KT (2)_5_KH TPCP 2016-2020 (tong hop)" xfId="560"/>
    <cellStyle name="_KT (2)_5_KH TPCP vung TNB (03-1-2012)" xfId="561"/>
    <cellStyle name="_KT (2)_5_Lora-tungchau" xfId="563"/>
    <cellStyle name="_KT (2)_5_Luy ke von ung nam 2011 -Thoa gui ngay 12-8-2012" xfId="564"/>
    <cellStyle name="_KT (2)_5_N-X-T-04" xfId="566"/>
    <cellStyle name="_KT (2)_5_NhanCong" xfId="565"/>
    <cellStyle name="_KT (2)_5_PGIA-phieu tham tra Kho bac" xfId="567"/>
    <cellStyle name="_KT (2)_5_PT02-02" xfId="569"/>
    <cellStyle name="_KT (2)_5_PT02-02_Book1" xfId="570"/>
    <cellStyle name="_KT (2)_5_PT02-03" xfId="571"/>
    <cellStyle name="_KT (2)_5_PT02-03_Book1" xfId="572"/>
    <cellStyle name="_KT (2)_5_phu luc tong ket tinh hinh TH giai doan 03-10 (ngay 30)" xfId="568"/>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ien giang 2" xfId="581"/>
    <cellStyle name="_KT (2)_5_ÿÿÿÿÿ_KH TPCP vung TNB (03-1-2012)" xfId="580"/>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ien giang 2" xfId="595"/>
    <cellStyle name="_KT (2)_Book1_KH TPCP vung TNB (03-1-2012)" xfId="594"/>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TGT 2003" xfId="602"/>
    <cellStyle name="_KT (2)_giao KH 2011 ngay 10-12-2010" xfId="601"/>
    <cellStyle name="_KT (2)_Ha Nam" xfId="5718"/>
    <cellStyle name="_KT (2)_KE KHAI THUE GTGT 2004" xfId="603"/>
    <cellStyle name="_KT (2)_KE KHAI THUE GTGT 2004_BCTC2004" xfId="604"/>
    <cellStyle name="_KT (2)_kien giang 2" xfId="607"/>
    <cellStyle name="_KT (2)_KH TPCP 2016-2020 (tong hop)" xfId="605"/>
    <cellStyle name="_KT (2)_KH TPCP vung TNB (03-1-2012)" xfId="606"/>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ien giang 2" xfId="632"/>
    <cellStyle name="_KT (2)_ÿÿÿÿÿ_KH TPCP vung TNB (03-1-2012)" xfId="631"/>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oCauPhi (version 1)" xfId="685"/>
    <cellStyle name="_KT_TG_1_Copy of 05-12  KH trung han 2016-2020 - Liem Thinh edited (1)" xfId="686"/>
    <cellStyle name="_KT_TG_1_ChiHuong_ApGia" xfId="684"/>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TGT 2003" xfId="695"/>
    <cellStyle name="_KT_TG_1_giao KH 2011 ngay 10-12-2010" xfId="694"/>
    <cellStyle name="_KT_TG_1_Ha Nam" xfId="5719"/>
    <cellStyle name="_KT_TG_1_KE KHAI THUE GTGT 2004" xfId="696"/>
    <cellStyle name="_KT_TG_1_KE KHAI THUE GTGT 2004_BCTC2004" xfId="697"/>
    <cellStyle name="_KT_TG_1_kien giang 2" xfId="700"/>
    <cellStyle name="_KT_TG_1_KH TPCP 2016-2020 (tong hop)" xfId="698"/>
    <cellStyle name="_KT_TG_1_KH TPCP vung TNB (03-1-2012)" xfId="699"/>
    <cellStyle name="_KT_TG_1_Lora-tungchau" xfId="701"/>
    <cellStyle name="_KT_TG_1_Luy ke von ung nam 2011 -Thoa gui ngay 12-8-2012" xfId="702"/>
    <cellStyle name="_KT_TG_1_N-X-T-04" xfId="704"/>
    <cellStyle name="_KT_TG_1_NhanCong" xfId="703"/>
    <cellStyle name="_KT_TG_1_PGIA-phieu tham tra Kho bac" xfId="705"/>
    <cellStyle name="_KT_TG_1_PT02-02" xfId="707"/>
    <cellStyle name="_KT_TG_1_PT02-02_Book1" xfId="708"/>
    <cellStyle name="_KT_TG_1_PT02-03" xfId="709"/>
    <cellStyle name="_KT_TG_1_PT02-03_Book1" xfId="710"/>
    <cellStyle name="_KT_TG_1_phu luc tong ket tinh hinh TH giai doan 03-10 (ngay 30)" xfId="706"/>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ien giang 2" xfId="719"/>
    <cellStyle name="_KT_TG_1_ÿÿÿÿÿ_KH TPCP vung TNB (03-1-2012)" xfId="718"/>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oCauPhi (version 1)" xfId="771"/>
    <cellStyle name="_KT_TG_2_Copy of 05-12  KH trung han 2016-2020 - Liem Thinh edited (1)" xfId="772"/>
    <cellStyle name="_KT_TG_2_ChiHuong_ApGia" xfId="770"/>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TGT 2003" xfId="781"/>
    <cellStyle name="_KT_TG_2_giao KH 2011 ngay 10-12-2010" xfId="780"/>
    <cellStyle name="_KT_TG_2_Ha Nam" xfId="5722"/>
    <cellStyle name="_KT_TG_2_KE KHAI THUE GTGT 2004" xfId="782"/>
    <cellStyle name="_KT_TG_2_KE KHAI THUE GTGT 2004_BCTC2004" xfId="783"/>
    <cellStyle name="_KT_TG_2_kien giang 2" xfId="786"/>
    <cellStyle name="_KT_TG_2_KH TPCP 2016-2020 (tong hop)" xfId="784"/>
    <cellStyle name="_KT_TG_2_KH TPCP vung TNB (03-1-2012)" xfId="785"/>
    <cellStyle name="_KT_TG_2_Lora-tungchau" xfId="787"/>
    <cellStyle name="_KT_TG_2_Luy ke von ung nam 2011 -Thoa gui ngay 12-8-2012" xfId="788"/>
    <cellStyle name="_KT_TG_2_N-X-T-04" xfId="790"/>
    <cellStyle name="_KT_TG_2_NhanCong" xfId="789"/>
    <cellStyle name="_KT_TG_2_PGIA-phieu tham tra Kho bac" xfId="791"/>
    <cellStyle name="_KT_TG_2_PT02-02" xfId="793"/>
    <cellStyle name="_KT_TG_2_PT02-02_Book1" xfId="794"/>
    <cellStyle name="_KT_TG_2_PT02-03" xfId="795"/>
    <cellStyle name="_KT_TG_2_PT02-03_Book1" xfId="796"/>
    <cellStyle name="_KT_TG_2_phu luc tong ket tinh hinh TH giai doan 03-10 (ngay 30)" xfId="792"/>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ien giang 2" xfId="805"/>
    <cellStyle name="_KT_TG_2_ÿÿÿÿÿ_KH TPCP vung TNB (03-1-2012)" xfId="804"/>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X-T-04" xfId="837"/>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oCauPhi (version 1)" xfId="916"/>
    <cellStyle name="_TG-TH_1_Copy of 05-12  KH trung han 2016-2020 - Liem Thinh edited (1)" xfId="917"/>
    <cellStyle name="_TG-TH_1_ChiHuong_ApGia" xfId="915"/>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TGT 2003" xfId="926"/>
    <cellStyle name="_TG-TH_1_giao KH 2011 ngay 10-12-2010" xfId="925"/>
    <cellStyle name="_TG-TH_1_Ha Nam" xfId="5726"/>
    <cellStyle name="_TG-TH_1_KE KHAI THUE GTGT 2004" xfId="927"/>
    <cellStyle name="_TG-TH_1_KE KHAI THUE GTGT 2004_BCTC2004" xfId="928"/>
    <cellStyle name="_TG-TH_1_kien giang 2" xfId="931"/>
    <cellStyle name="_TG-TH_1_KH TPCP 2016-2020 (tong hop)" xfId="929"/>
    <cellStyle name="_TG-TH_1_KH TPCP vung TNB (03-1-2012)" xfId="930"/>
    <cellStyle name="_TG-TH_1_Lora-tungchau" xfId="932"/>
    <cellStyle name="_TG-TH_1_Luy ke von ung nam 2011 -Thoa gui ngay 12-8-2012" xfId="933"/>
    <cellStyle name="_TG-TH_1_N-X-T-04" xfId="935"/>
    <cellStyle name="_TG-TH_1_NhanCong" xfId="934"/>
    <cellStyle name="_TG-TH_1_PGIA-phieu tham tra Kho bac" xfId="936"/>
    <cellStyle name="_TG-TH_1_PT02-02" xfId="938"/>
    <cellStyle name="_TG-TH_1_PT02-02_Book1" xfId="939"/>
    <cellStyle name="_TG-TH_1_PT02-03" xfId="940"/>
    <cellStyle name="_TG-TH_1_PT02-03_Book1" xfId="941"/>
    <cellStyle name="_TG-TH_1_phu luc tong ket tinh hinh TH giai doan 03-10 (ngay 30)" xfId="937"/>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ien giang 2" xfId="950"/>
    <cellStyle name="_TG-TH_1_ÿÿÿÿÿ_KH TPCP vung TNB (03-1-2012)" xfId="949"/>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oCauPhi (version 1)" xfId="1002"/>
    <cellStyle name="_TG-TH_2_Copy of 05-12  KH trung han 2016-2020 - Liem Thinh edited (1)" xfId="1003"/>
    <cellStyle name="_TG-TH_2_ChiHuong_ApGia" xfId="1001"/>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TGT 2003" xfId="1012"/>
    <cellStyle name="_TG-TH_2_giao KH 2011 ngay 10-12-2010" xfId="1011"/>
    <cellStyle name="_TG-TH_2_Ha Nam" xfId="5729"/>
    <cellStyle name="_TG-TH_2_KE KHAI THUE GTGT 2004" xfId="1013"/>
    <cellStyle name="_TG-TH_2_KE KHAI THUE GTGT 2004_BCTC2004" xfId="1014"/>
    <cellStyle name="_TG-TH_2_kien giang 2" xfId="1017"/>
    <cellStyle name="_TG-TH_2_KH TPCP 2016-2020 (tong hop)" xfId="1015"/>
    <cellStyle name="_TG-TH_2_KH TPCP vung TNB (03-1-2012)" xfId="1016"/>
    <cellStyle name="_TG-TH_2_Lora-tungchau" xfId="1018"/>
    <cellStyle name="_TG-TH_2_Luy ke von ung nam 2011 -Thoa gui ngay 12-8-2012" xfId="1019"/>
    <cellStyle name="_TG-TH_2_N-X-T-04" xfId="1021"/>
    <cellStyle name="_TG-TH_2_NhanCong" xfId="1020"/>
    <cellStyle name="_TG-TH_2_PGIA-phieu tham tra Kho bac" xfId="1022"/>
    <cellStyle name="_TG-TH_2_PT02-02" xfId="1024"/>
    <cellStyle name="_TG-TH_2_PT02-02_Book1" xfId="1025"/>
    <cellStyle name="_TG-TH_2_PT02-03" xfId="1026"/>
    <cellStyle name="_TG-TH_2_PT02-03_Book1" xfId="1027"/>
    <cellStyle name="_TG-TH_2_phu luc tong ket tinh hinh TH giai doan 03-10 (ngay 30)" xfId="1023"/>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ien giang 2" xfId="1036"/>
    <cellStyle name="_TG-TH_2_ÿÿÿÿÿ_KH TPCP vung TNB (03-1-2012)" xfId="1035"/>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TH KH 2010" xfId="104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ien giang 2" xfId="1128"/>
    <cellStyle name="_ÿÿÿÿÿ_Kh ql62 (2010) 11-09" xfId="1125"/>
    <cellStyle name="_ÿÿÿÿÿ_KH TPCP vung TNB (03-1-2012)" xfId="1126"/>
    <cellStyle name="_ÿÿÿÿÿ_Khung 2012" xfId="1127"/>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o TC 2008" xfId="12705"/>
    <cellStyle name="1_Cong trinh co y kien LD_Dang_NN_2011-Tay nguyen-9-10" xfId="1165"/>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RUNG PMU 5" xfId="1188"/>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umorong" xfId="19821"/>
    <cellStyle name="2_Tumorong 2" xfId="19822"/>
    <cellStyle name="2_TRUNG PMU 5" xfId="1229"/>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AUDE" xfId="2052"/>
    <cellStyle name="Dấu phảy 2" xfId="20508"/>
    <cellStyle name="Dấu phẩy 2" xfId="20509"/>
    <cellStyle name="Dấu_phảy 2" xfId="2051"/>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gia" xfId="2327"/>
    <cellStyle name="GIA-MOI" xfId="4457"/>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LBXUNG" xfId="4460"/>
    <cellStyle name="kh¸c_Bang Chi tieu" xfId="2422"/>
    <cellStyle name="khanh" xfId="2423"/>
    <cellStyle name="khung" xfId="2424"/>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5"/>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nga" xfId="2531"/>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ien giang 2" xfId="3516"/>
    <cellStyle name="T_Book1_1_kien giang 2 2" xfId="3517"/>
    <cellStyle name="T_Book1_1_KH TPCP vung TNB (03-1-2012)" xfId="3514"/>
    <cellStyle name="T_Book1_1_KH TPCP vung TNB (03-1-2012) 2" xfId="3515"/>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ien giang 2" xfId="3648"/>
    <cellStyle name="T_Book1_kien giang 2 2" xfId="3649"/>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ien giang 2" xfId="3903"/>
    <cellStyle name="T_kien giang 2 2" xfId="3904"/>
    <cellStyle name="T_kien giang 2 2 2" xfId="4869"/>
    <cellStyle name="T_kien giang 2 2 3" xfId="5283"/>
    <cellStyle name="T_kien giang 2 3" xfId="4870"/>
    <cellStyle name="T_kien giang 2 4" xfId="5282"/>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K_HT" xfId="3980"/>
    <cellStyle name="T_TK_HT 2" xfId="3981"/>
    <cellStyle name="T_TK_HT 2 2" xfId="4946"/>
    <cellStyle name="T_TK_HT 2 3" xfId="5360"/>
    <cellStyle name="T_TK_HT 3" xfId="4947"/>
    <cellStyle name="T_TK_HT 4" xfId="5359"/>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t1" xfId="4144"/>
    <cellStyle name="tt1 2" xfId="5108"/>
    <cellStyle name="tt1 3" xfId="5521"/>
    <cellStyle name="Tusental (0)_pldt" xfId="4145"/>
    <cellStyle name="Tusental_pldt" xfId="4146"/>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rang" xfId="4143"/>
    <cellStyle name="trang 2" xfId="5107"/>
    <cellStyle name="trang 3" xfId="5520"/>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8.75">
      <c r="A1" s="284" t="s">
        <v>25</v>
      </c>
      <c r="B1" s="284"/>
      <c r="C1" s="284"/>
      <c r="D1" s="284"/>
      <c r="E1" s="284"/>
      <c r="F1" s="284"/>
      <c r="G1" s="284"/>
      <c r="H1" s="284"/>
      <c r="I1" s="284"/>
      <c r="J1" s="284"/>
      <c r="K1" s="284"/>
      <c r="L1" s="284"/>
      <c r="M1" s="284"/>
    </row>
    <row r="2" spans="1:13" ht="44.25" customHeight="1">
      <c r="A2" s="285" t="s">
        <v>32</v>
      </c>
      <c r="B2" s="284"/>
      <c r="C2" s="284"/>
      <c r="D2" s="284"/>
      <c r="E2" s="284"/>
      <c r="F2" s="284"/>
      <c r="G2" s="284"/>
      <c r="H2" s="284"/>
      <c r="I2" s="284"/>
      <c r="J2" s="284"/>
      <c r="K2" s="284"/>
      <c r="L2" s="284"/>
      <c r="M2" s="284"/>
    </row>
    <row r="3" spans="1:13" ht="15">
      <c r="A3" s="286" t="e">
        <f>#REF!</f>
        <v>#REF!</v>
      </c>
      <c r="B3" s="287"/>
      <c r="C3" s="287"/>
      <c r="D3" s="287"/>
      <c r="E3" s="287"/>
      <c r="F3" s="287"/>
      <c r="G3" s="287"/>
      <c r="H3" s="287"/>
      <c r="I3" s="287"/>
      <c r="J3" s="287"/>
      <c r="K3" s="287"/>
      <c r="L3" s="287"/>
      <c r="M3" s="287"/>
    </row>
    <row r="4" spans="1:13" ht="19.5" customHeight="1">
      <c r="A4" s="1"/>
      <c r="B4" s="1"/>
      <c r="C4" s="1"/>
      <c r="D4" s="1"/>
      <c r="E4" s="1"/>
      <c r="F4" s="1"/>
      <c r="G4" s="1"/>
      <c r="H4" s="288" t="s">
        <v>2</v>
      </c>
      <c r="I4" s="288"/>
      <c r="J4" s="288"/>
      <c r="K4" s="288"/>
      <c r="L4" s="288"/>
      <c r="M4" s="288"/>
    </row>
    <row r="5" spans="1:13" ht="24.95" customHeight="1">
      <c r="A5" s="289" t="s">
        <v>0</v>
      </c>
      <c r="B5" s="289" t="s">
        <v>34</v>
      </c>
      <c r="C5" s="292" t="s">
        <v>26</v>
      </c>
      <c r="D5" s="293"/>
      <c r="E5" s="293"/>
      <c r="F5" s="293"/>
      <c r="G5" s="294"/>
      <c r="H5" s="292" t="s">
        <v>27</v>
      </c>
      <c r="I5" s="293"/>
      <c r="J5" s="293"/>
      <c r="K5" s="293"/>
      <c r="L5" s="294"/>
      <c r="M5" s="289" t="s">
        <v>1</v>
      </c>
    </row>
    <row r="6" spans="1:13" ht="24.95" customHeight="1">
      <c r="A6" s="290"/>
      <c r="B6" s="290"/>
      <c r="C6" s="289" t="s">
        <v>35</v>
      </c>
      <c r="D6" s="292" t="s">
        <v>4</v>
      </c>
      <c r="E6" s="293"/>
      <c r="F6" s="293"/>
      <c r="G6" s="294"/>
      <c r="H6" s="289" t="s">
        <v>35</v>
      </c>
      <c r="I6" s="292" t="s">
        <v>4</v>
      </c>
      <c r="J6" s="293"/>
      <c r="K6" s="293"/>
      <c r="L6" s="294"/>
      <c r="M6" s="290"/>
    </row>
    <row r="7" spans="1:13" ht="24.95" customHeight="1">
      <c r="A7" s="290"/>
      <c r="B7" s="290"/>
      <c r="C7" s="290"/>
      <c r="D7" s="283" t="s">
        <v>6</v>
      </c>
      <c r="E7" s="295" t="s">
        <v>4</v>
      </c>
      <c r="F7" s="295"/>
      <c r="G7" s="283" t="s">
        <v>8</v>
      </c>
      <c r="H7" s="290"/>
      <c r="I7" s="283" t="s">
        <v>6</v>
      </c>
      <c r="J7" s="295" t="s">
        <v>4</v>
      </c>
      <c r="K7" s="295"/>
      <c r="L7" s="283" t="s">
        <v>8</v>
      </c>
      <c r="M7" s="290"/>
    </row>
    <row r="8" spans="1:13" ht="95.25" customHeight="1">
      <c r="A8" s="291"/>
      <c r="B8" s="291"/>
      <c r="C8" s="291"/>
      <c r="D8" s="283"/>
      <c r="E8" s="3" t="s">
        <v>10</v>
      </c>
      <c r="F8" s="3" t="s">
        <v>11</v>
      </c>
      <c r="G8" s="283"/>
      <c r="H8" s="291"/>
      <c r="I8" s="283"/>
      <c r="J8" s="3" t="s">
        <v>10</v>
      </c>
      <c r="K8" s="3" t="s">
        <v>11</v>
      </c>
      <c r="L8" s="283"/>
      <c r="M8" s="291"/>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Z52"/>
  <sheetViews>
    <sheetView tabSelected="1" topLeftCell="C1" zoomScale="75" zoomScaleNormal="75" workbookViewId="0">
      <pane xSplit="21750" topLeftCell="R1"/>
      <selection activeCell="X11" sqref="X11"/>
      <selection pane="topRight" activeCell="O27" sqref="O27"/>
    </sheetView>
  </sheetViews>
  <sheetFormatPr defaultRowHeight="15.75"/>
  <cols>
    <col min="1" max="1" width="9.6640625" style="18" customWidth="1"/>
    <col min="2" max="2" width="58.1640625" style="18" customWidth="1"/>
    <col min="3" max="3" width="26.1640625" style="79" customWidth="1"/>
    <col min="4" max="4" width="20.6640625" style="79" customWidth="1"/>
    <col min="5" max="5" width="13.5" style="18" customWidth="1"/>
    <col min="6" max="6" width="14" style="18" customWidth="1"/>
    <col min="7" max="7" width="12.5" style="18" customWidth="1"/>
    <col min="8" max="8" width="14.5" style="18" hidden="1" customWidth="1"/>
    <col min="9" max="9" width="14.5" style="19" customWidth="1"/>
    <col min="10" max="10" width="15.6640625" style="19" customWidth="1"/>
    <col min="11" max="11" width="15.83203125" style="19" hidden="1" customWidth="1"/>
    <col min="12" max="12" width="14.5" style="19" hidden="1" customWidth="1"/>
    <col min="13" max="13" width="21.5" style="19" hidden="1" customWidth="1"/>
    <col min="14" max="14" width="20.1640625" style="18" hidden="1" customWidth="1"/>
    <col min="15" max="15" width="13.6640625" style="18" hidden="1" customWidth="1"/>
    <col min="16" max="16" width="32.1640625" style="18" hidden="1" customWidth="1"/>
    <col min="17" max="17" width="12.1640625" style="18" hidden="1" customWidth="1"/>
    <col min="18" max="18" width="16.1640625" style="18" customWidth="1"/>
    <col min="19" max="19" width="16.33203125" style="20" customWidth="1"/>
    <col min="20" max="20" width="15.33203125" style="19" customWidth="1"/>
    <col min="21" max="21" width="15.1640625" style="19" customWidth="1"/>
    <col min="22" max="22" width="14.5" style="18" customWidth="1"/>
    <col min="23" max="23" width="15.83203125" style="18" customWidth="1"/>
    <col min="24" max="24" width="15.83203125" style="19" customWidth="1"/>
    <col min="25" max="25" width="17.33203125" style="18" customWidth="1"/>
    <col min="26" max="238" width="9.33203125" style="18"/>
    <col min="239" max="239" width="9.6640625" style="18" customWidth="1"/>
    <col min="240" max="240" width="58.1640625" style="18" customWidth="1"/>
    <col min="241" max="241" width="33.5" style="18" customWidth="1"/>
    <col min="242" max="242" width="22.1640625" style="18" customWidth="1"/>
    <col min="243" max="243" width="25.5" style="18" customWidth="1"/>
    <col min="244" max="244" width="56.33203125" style="18" customWidth="1"/>
    <col min="245" max="245" width="66.1640625" style="18" customWidth="1"/>
    <col min="246" max="251" width="11" style="18" customWidth="1"/>
    <col min="252" max="252" width="13.5" style="18" customWidth="1"/>
    <col min="253" max="253" width="9" style="18" customWidth="1"/>
    <col min="254" max="494" width="9.33203125" style="18"/>
    <col min="495" max="495" width="9.6640625" style="18" customWidth="1"/>
    <col min="496" max="496" width="58.1640625" style="18" customWidth="1"/>
    <col min="497" max="497" width="33.5" style="18" customWidth="1"/>
    <col min="498" max="498" width="22.1640625" style="18" customWidth="1"/>
    <col min="499" max="499" width="25.5" style="18" customWidth="1"/>
    <col min="500" max="500" width="56.33203125" style="18" customWidth="1"/>
    <col min="501" max="501" width="66.1640625" style="18" customWidth="1"/>
    <col min="502" max="507" width="11" style="18" customWidth="1"/>
    <col min="508" max="508" width="13.5" style="18" customWidth="1"/>
    <col min="509" max="509" width="9" style="18" customWidth="1"/>
    <col min="510" max="750" width="9.33203125" style="18"/>
    <col min="751" max="751" width="9.6640625" style="18" customWidth="1"/>
    <col min="752" max="752" width="58.1640625" style="18" customWidth="1"/>
    <col min="753" max="753" width="33.5" style="18" customWidth="1"/>
    <col min="754" max="754" width="22.1640625" style="18" customWidth="1"/>
    <col min="755" max="755" width="25.5" style="18" customWidth="1"/>
    <col min="756" max="756" width="56.33203125" style="18" customWidth="1"/>
    <col min="757" max="757" width="66.1640625" style="18" customWidth="1"/>
    <col min="758" max="763" width="11" style="18" customWidth="1"/>
    <col min="764" max="764" width="13.5" style="18" customWidth="1"/>
    <col min="765" max="765" width="9" style="18" customWidth="1"/>
    <col min="766" max="1006" width="9.33203125" style="18"/>
    <col min="1007" max="1007" width="9.6640625" style="18" customWidth="1"/>
    <col min="1008" max="1008" width="58.1640625" style="18" customWidth="1"/>
    <col min="1009" max="1009" width="33.5" style="18" customWidth="1"/>
    <col min="1010" max="1010" width="22.1640625" style="18" customWidth="1"/>
    <col min="1011" max="1011" width="25.5" style="18" customWidth="1"/>
    <col min="1012" max="1012" width="56.33203125" style="18" customWidth="1"/>
    <col min="1013" max="1013" width="66.1640625" style="18" customWidth="1"/>
    <col min="1014" max="1019" width="11" style="18" customWidth="1"/>
    <col min="1020" max="1020" width="13.5" style="18" customWidth="1"/>
    <col min="1021" max="1021" width="9" style="18" customWidth="1"/>
    <col min="1022" max="1262" width="9.33203125" style="18"/>
    <col min="1263" max="1263" width="9.6640625" style="18" customWidth="1"/>
    <col min="1264" max="1264" width="58.1640625" style="18" customWidth="1"/>
    <col min="1265" max="1265" width="33.5" style="18" customWidth="1"/>
    <col min="1266" max="1266" width="22.1640625" style="18" customWidth="1"/>
    <col min="1267" max="1267" width="25.5" style="18" customWidth="1"/>
    <col min="1268" max="1268" width="56.33203125" style="18" customWidth="1"/>
    <col min="1269" max="1269" width="66.1640625" style="18" customWidth="1"/>
    <col min="1270" max="1275" width="11" style="18" customWidth="1"/>
    <col min="1276" max="1276" width="13.5" style="18" customWidth="1"/>
    <col min="1277" max="1277" width="9" style="18" customWidth="1"/>
    <col min="1278" max="1518" width="9.33203125" style="18"/>
    <col min="1519" max="1519" width="9.6640625" style="18" customWidth="1"/>
    <col min="1520" max="1520" width="58.1640625" style="18" customWidth="1"/>
    <col min="1521" max="1521" width="33.5" style="18" customWidth="1"/>
    <col min="1522" max="1522" width="22.1640625" style="18" customWidth="1"/>
    <col min="1523" max="1523" width="25.5" style="18" customWidth="1"/>
    <col min="1524" max="1524" width="56.33203125" style="18" customWidth="1"/>
    <col min="1525" max="1525" width="66.1640625" style="18" customWidth="1"/>
    <col min="1526" max="1531" width="11" style="18" customWidth="1"/>
    <col min="1532" max="1532" width="13.5" style="18" customWidth="1"/>
    <col min="1533" max="1533" width="9" style="18" customWidth="1"/>
    <col min="1534" max="1774" width="9.33203125" style="18"/>
    <col min="1775" max="1775" width="9.6640625" style="18" customWidth="1"/>
    <col min="1776" max="1776" width="58.1640625" style="18" customWidth="1"/>
    <col min="1777" max="1777" width="33.5" style="18" customWidth="1"/>
    <col min="1778" max="1778" width="22.1640625" style="18" customWidth="1"/>
    <col min="1779" max="1779" width="25.5" style="18" customWidth="1"/>
    <col min="1780" max="1780" width="56.33203125" style="18" customWidth="1"/>
    <col min="1781" max="1781" width="66.1640625" style="18" customWidth="1"/>
    <col min="1782" max="1787" width="11" style="18" customWidth="1"/>
    <col min="1788" max="1788" width="13.5" style="18" customWidth="1"/>
    <col min="1789" max="1789" width="9" style="18" customWidth="1"/>
    <col min="1790" max="2030" width="9.33203125" style="18"/>
    <col min="2031" max="2031" width="9.6640625" style="18" customWidth="1"/>
    <col min="2032" max="2032" width="58.1640625" style="18" customWidth="1"/>
    <col min="2033" max="2033" width="33.5" style="18" customWidth="1"/>
    <col min="2034" max="2034" width="22.1640625" style="18" customWidth="1"/>
    <col min="2035" max="2035" width="25.5" style="18" customWidth="1"/>
    <col min="2036" max="2036" width="56.33203125" style="18" customWidth="1"/>
    <col min="2037" max="2037" width="66.1640625" style="18" customWidth="1"/>
    <col min="2038" max="2043" width="11" style="18" customWidth="1"/>
    <col min="2044" max="2044" width="13.5" style="18" customWidth="1"/>
    <col min="2045" max="2045" width="9" style="18" customWidth="1"/>
    <col min="2046" max="2286" width="9.33203125" style="18"/>
    <col min="2287" max="2287" width="9.6640625" style="18" customWidth="1"/>
    <col min="2288" max="2288" width="58.1640625" style="18" customWidth="1"/>
    <col min="2289" max="2289" width="33.5" style="18" customWidth="1"/>
    <col min="2290" max="2290" width="22.1640625" style="18" customWidth="1"/>
    <col min="2291" max="2291" width="25.5" style="18" customWidth="1"/>
    <col min="2292" max="2292" width="56.33203125" style="18" customWidth="1"/>
    <col min="2293" max="2293" width="66.1640625" style="18" customWidth="1"/>
    <col min="2294" max="2299" width="11" style="18" customWidth="1"/>
    <col min="2300" max="2300" width="13.5" style="18" customWidth="1"/>
    <col min="2301" max="2301" width="9" style="18" customWidth="1"/>
    <col min="2302" max="2542" width="9.33203125" style="18"/>
    <col min="2543" max="2543" width="9.6640625" style="18" customWidth="1"/>
    <col min="2544" max="2544" width="58.1640625" style="18" customWidth="1"/>
    <col min="2545" max="2545" width="33.5" style="18" customWidth="1"/>
    <col min="2546" max="2546" width="22.1640625" style="18" customWidth="1"/>
    <col min="2547" max="2547" width="25.5" style="18" customWidth="1"/>
    <col min="2548" max="2548" width="56.33203125" style="18" customWidth="1"/>
    <col min="2549" max="2549" width="66.1640625" style="18" customWidth="1"/>
    <col min="2550" max="2555" width="11" style="18" customWidth="1"/>
    <col min="2556" max="2556" width="13.5" style="18" customWidth="1"/>
    <col min="2557" max="2557" width="9" style="18" customWidth="1"/>
    <col min="2558" max="2798" width="9.33203125" style="18"/>
    <col min="2799" max="2799" width="9.6640625" style="18" customWidth="1"/>
    <col min="2800" max="2800" width="58.1640625" style="18" customWidth="1"/>
    <col min="2801" max="2801" width="33.5" style="18" customWidth="1"/>
    <col min="2802" max="2802" width="22.1640625" style="18" customWidth="1"/>
    <col min="2803" max="2803" width="25.5" style="18" customWidth="1"/>
    <col min="2804" max="2804" width="56.33203125" style="18" customWidth="1"/>
    <col min="2805" max="2805" width="66.1640625" style="18" customWidth="1"/>
    <col min="2806" max="2811" width="11" style="18" customWidth="1"/>
    <col min="2812" max="2812" width="13.5" style="18" customWidth="1"/>
    <col min="2813" max="2813" width="9" style="18" customWidth="1"/>
    <col min="2814" max="3054" width="9.33203125" style="18"/>
    <col min="3055" max="3055" width="9.6640625" style="18" customWidth="1"/>
    <col min="3056" max="3056" width="58.1640625" style="18" customWidth="1"/>
    <col min="3057" max="3057" width="33.5" style="18" customWidth="1"/>
    <col min="3058" max="3058" width="22.1640625" style="18" customWidth="1"/>
    <col min="3059" max="3059" width="25.5" style="18" customWidth="1"/>
    <col min="3060" max="3060" width="56.33203125" style="18" customWidth="1"/>
    <col min="3061" max="3061" width="66.1640625" style="18" customWidth="1"/>
    <col min="3062" max="3067" width="11" style="18" customWidth="1"/>
    <col min="3068" max="3068" width="13.5" style="18" customWidth="1"/>
    <col min="3069" max="3069" width="9" style="18" customWidth="1"/>
    <col min="3070" max="3310" width="9.33203125" style="18"/>
    <col min="3311" max="3311" width="9.6640625" style="18" customWidth="1"/>
    <col min="3312" max="3312" width="58.1640625" style="18" customWidth="1"/>
    <col min="3313" max="3313" width="33.5" style="18" customWidth="1"/>
    <col min="3314" max="3314" width="22.1640625" style="18" customWidth="1"/>
    <col min="3315" max="3315" width="25.5" style="18" customWidth="1"/>
    <col min="3316" max="3316" width="56.33203125" style="18" customWidth="1"/>
    <col min="3317" max="3317" width="66.1640625" style="18" customWidth="1"/>
    <col min="3318" max="3323" width="11" style="18" customWidth="1"/>
    <col min="3324" max="3324" width="13.5" style="18" customWidth="1"/>
    <col min="3325" max="3325" width="9" style="18" customWidth="1"/>
    <col min="3326" max="3566" width="9.33203125" style="18"/>
    <col min="3567" max="3567" width="9.6640625" style="18" customWidth="1"/>
    <col min="3568" max="3568" width="58.1640625" style="18" customWidth="1"/>
    <col min="3569" max="3569" width="33.5" style="18" customWidth="1"/>
    <col min="3570" max="3570" width="22.1640625" style="18" customWidth="1"/>
    <col min="3571" max="3571" width="25.5" style="18" customWidth="1"/>
    <col min="3572" max="3572" width="56.33203125" style="18" customWidth="1"/>
    <col min="3573" max="3573" width="66.1640625" style="18" customWidth="1"/>
    <col min="3574" max="3579" width="11" style="18" customWidth="1"/>
    <col min="3580" max="3580" width="13.5" style="18" customWidth="1"/>
    <col min="3581" max="3581" width="9" style="18" customWidth="1"/>
    <col min="3582" max="3822" width="9.33203125" style="18"/>
    <col min="3823" max="3823" width="9.6640625" style="18" customWidth="1"/>
    <col min="3824" max="3824" width="58.1640625" style="18" customWidth="1"/>
    <col min="3825" max="3825" width="33.5" style="18" customWidth="1"/>
    <col min="3826" max="3826" width="22.1640625" style="18" customWidth="1"/>
    <col min="3827" max="3827" width="25.5" style="18" customWidth="1"/>
    <col min="3828" max="3828" width="56.33203125" style="18" customWidth="1"/>
    <col min="3829" max="3829" width="66.1640625" style="18" customWidth="1"/>
    <col min="3830" max="3835" width="11" style="18" customWidth="1"/>
    <col min="3836" max="3836" width="13.5" style="18" customWidth="1"/>
    <col min="3837" max="3837" width="9" style="18" customWidth="1"/>
    <col min="3838" max="4078" width="9.33203125" style="18"/>
    <col min="4079" max="4079" width="9.6640625" style="18" customWidth="1"/>
    <col min="4080" max="4080" width="58.1640625" style="18" customWidth="1"/>
    <col min="4081" max="4081" width="33.5" style="18" customWidth="1"/>
    <col min="4082" max="4082" width="22.1640625" style="18" customWidth="1"/>
    <col min="4083" max="4083" width="25.5" style="18" customWidth="1"/>
    <col min="4084" max="4084" width="56.33203125" style="18" customWidth="1"/>
    <col min="4085" max="4085" width="66.1640625" style="18" customWidth="1"/>
    <col min="4086" max="4091" width="11" style="18" customWidth="1"/>
    <col min="4092" max="4092" width="13.5" style="18" customWidth="1"/>
    <col min="4093" max="4093" width="9" style="18" customWidth="1"/>
    <col min="4094" max="4334" width="9.33203125" style="18"/>
    <col min="4335" max="4335" width="9.6640625" style="18" customWidth="1"/>
    <col min="4336" max="4336" width="58.1640625" style="18" customWidth="1"/>
    <col min="4337" max="4337" width="33.5" style="18" customWidth="1"/>
    <col min="4338" max="4338" width="22.1640625" style="18" customWidth="1"/>
    <col min="4339" max="4339" width="25.5" style="18" customWidth="1"/>
    <col min="4340" max="4340" width="56.33203125" style="18" customWidth="1"/>
    <col min="4341" max="4341" width="66.1640625" style="18" customWidth="1"/>
    <col min="4342" max="4347" width="11" style="18" customWidth="1"/>
    <col min="4348" max="4348" width="13.5" style="18" customWidth="1"/>
    <col min="4349" max="4349" width="9" style="18" customWidth="1"/>
    <col min="4350" max="4590" width="9.33203125" style="18"/>
    <col min="4591" max="4591" width="9.6640625" style="18" customWidth="1"/>
    <col min="4592" max="4592" width="58.1640625" style="18" customWidth="1"/>
    <col min="4593" max="4593" width="33.5" style="18" customWidth="1"/>
    <col min="4594" max="4594" width="22.1640625" style="18" customWidth="1"/>
    <col min="4595" max="4595" width="25.5" style="18" customWidth="1"/>
    <col min="4596" max="4596" width="56.33203125" style="18" customWidth="1"/>
    <col min="4597" max="4597" width="66.1640625" style="18" customWidth="1"/>
    <col min="4598" max="4603" width="11" style="18" customWidth="1"/>
    <col min="4604" max="4604" width="13.5" style="18" customWidth="1"/>
    <col min="4605" max="4605" width="9" style="18" customWidth="1"/>
    <col min="4606" max="4846" width="9.33203125" style="18"/>
    <col min="4847" max="4847" width="9.6640625" style="18" customWidth="1"/>
    <col min="4848" max="4848" width="58.1640625" style="18" customWidth="1"/>
    <col min="4849" max="4849" width="33.5" style="18" customWidth="1"/>
    <col min="4850" max="4850" width="22.1640625" style="18" customWidth="1"/>
    <col min="4851" max="4851" width="25.5" style="18" customWidth="1"/>
    <col min="4852" max="4852" width="56.33203125" style="18" customWidth="1"/>
    <col min="4853" max="4853" width="66.1640625" style="18" customWidth="1"/>
    <col min="4854" max="4859" width="11" style="18" customWidth="1"/>
    <col min="4860" max="4860" width="13.5" style="18" customWidth="1"/>
    <col min="4861" max="4861" width="9" style="18" customWidth="1"/>
    <col min="4862" max="5102" width="9.33203125" style="18"/>
    <col min="5103" max="5103" width="9.6640625" style="18" customWidth="1"/>
    <col min="5104" max="5104" width="58.1640625" style="18" customWidth="1"/>
    <col min="5105" max="5105" width="33.5" style="18" customWidth="1"/>
    <col min="5106" max="5106" width="22.1640625" style="18" customWidth="1"/>
    <col min="5107" max="5107" width="25.5" style="18" customWidth="1"/>
    <col min="5108" max="5108" width="56.33203125" style="18" customWidth="1"/>
    <col min="5109" max="5109" width="66.1640625" style="18" customWidth="1"/>
    <col min="5110" max="5115" width="11" style="18" customWidth="1"/>
    <col min="5116" max="5116" width="13.5" style="18" customWidth="1"/>
    <col min="5117" max="5117" width="9" style="18" customWidth="1"/>
    <col min="5118" max="5358" width="9.33203125" style="18"/>
    <col min="5359" max="5359" width="9.6640625" style="18" customWidth="1"/>
    <col min="5360" max="5360" width="58.1640625" style="18" customWidth="1"/>
    <col min="5361" max="5361" width="33.5" style="18" customWidth="1"/>
    <col min="5362" max="5362" width="22.1640625" style="18" customWidth="1"/>
    <col min="5363" max="5363" width="25.5" style="18" customWidth="1"/>
    <col min="5364" max="5364" width="56.33203125" style="18" customWidth="1"/>
    <col min="5365" max="5365" width="66.1640625" style="18" customWidth="1"/>
    <col min="5366" max="5371" width="11" style="18" customWidth="1"/>
    <col min="5372" max="5372" width="13.5" style="18" customWidth="1"/>
    <col min="5373" max="5373" width="9" style="18" customWidth="1"/>
    <col min="5374" max="5614" width="9.33203125" style="18"/>
    <col min="5615" max="5615" width="9.6640625" style="18" customWidth="1"/>
    <col min="5616" max="5616" width="58.1640625" style="18" customWidth="1"/>
    <col min="5617" max="5617" width="33.5" style="18" customWidth="1"/>
    <col min="5618" max="5618" width="22.1640625" style="18" customWidth="1"/>
    <col min="5619" max="5619" width="25.5" style="18" customWidth="1"/>
    <col min="5620" max="5620" width="56.33203125" style="18" customWidth="1"/>
    <col min="5621" max="5621" width="66.1640625" style="18" customWidth="1"/>
    <col min="5622" max="5627" width="11" style="18" customWidth="1"/>
    <col min="5628" max="5628" width="13.5" style="18" customWidth="1"/>
    <col min="5629" max="5629" width="9" style="18" customWidth="1"/>
    <col min="5630" max="5870" width="9.33203125" style="18"/>
    <col min="5871" max="5871" width="9.6640625" style="18" customWidth="1"/>
    <col min="5872" max="5872" width="58.1640625" style="18" customWidth="1"/>
    <col min="5873" max="5873" width="33.5" style="18" customWidth="1"/>
    <col min="5874" max="5874" width="22.1640625" style="18" customWidth="1"/>
    <col min="5875" max="5875" width="25.5" style="18" customWidth="1"/>
    <col min="5876" max="5876" width="56.33203125" style="18" customWidth="1"/>
    <col min="5877" max="5877" width="66.1640625" style="18" customWidth="1"/>
    <col min="5878" max="5883" width="11" style="18" customWidth="1"/>
    <col min="5884" max="5884" width="13.5" style="18" customWidth="1"/>
    <col min="5885" max="5885" width="9" style="18" customWidth="1"/>
    <col min="5886" max="6126" width="9.33203125" style="18"/>
    <col min="6127" max="6127" width="9.6640625" style="18" customWidth="1"/>
    <col min="6128" max="6128" width="58.1640625" style="18" customWidth="1"/>
    <col min="6129" max="6129" width="33.5" style="18" customWidth="1"/>
    <col min="6130" max="6130" width="22.1640625" style="18" customWidth="1"/>
    <col min="6131" max="6131" width="25.5" style="18" customWidth="1"/>
    <col min="6132" max="6132" width="56.33203125" style="18" customWidth="1"/>
    <col min="6133" max="6133" width="66.1640625" style="18" customWidth="1"/>
    <col min="6134" max="6139" width="11" style="18" customWidth="1"/>
    <col min="6140" max="6140" width="13.5" style="18" customWidth="1"/>
    <col min="6141" max="6141" width="9" style="18" customWidth="1"/>
    <col min="6142" max="6382" width="9.33203125" style="18"/>
    <col min="6383" max="6383" width="9.6640625" style="18" customWidth="1"/>
    <col min="6384" max="6384" width="58.1640625" style="18" customWidth="1"/>
    <col min="6385" max="6385" width="33.5" style="18" customWidth="1"/>
    <col min="6386" max="6386" width="22.1640625" style="18" customWidth="1"/>
    <col min="6387" max="6387" width="25.5" style="18" customWidth="1"/>
    <col min="6388" max="6388" width="56.33203125" style="18" customWidth="1"/>
    <col min="6389" max="6389" width="66.1640625" style="18" customWidth="1"/>
    <col min="6390" max="6395" width="11" style="18" customWidth="1"/>
    <col min="6396" max="6396" width="13.5" style="18" customWidth="1"/>
    <col min="6397" max="6397" width="9" style="18" customWidth="1"/>
    <col min="6398" max="6638" width="9.33203125" style="18"/>
    <col min="6639" max="6639" width="9.6640625" style="18" customWidth="1"/>
    <col min="6640" max="6640" width="58.1640625" style="18" customWidth="1"/>
    <col min="6641" max="6641" width="33.5" style="18" customWidth="1"/>
    <col min="6642" max="6642" width="22.1640625" style="18" customWidth="1"/>
    <col min="6643" max="6643" width="25.5" style="18" customWidth="1"/>
    <col min="6644" max="6644" width="56.33203125" style="18" customWidth="1"/>
    <col min="6645" max="6645" width="66.1640625" style="18" customWidth="1"/>
    <col min="6646" max="6651" width="11" style="18" customWidth="1"/>
    <col min="6652" max="6652" width="13.5" style="18" customWidth="1"/>
    <col min="6653" max="6653" width="9" style="18" customWidth="1"/>
    <col min="6654" max="6894" width="9.33203125" style="18"/>
    <col min="6895" max="6895" width="9.6640625" style="18" customWidth="1"/>
    <col min="6896" max="6896" width="58.1640625" style="18" customWidth="1"/>
    <col min="6897" max="6897" width="33.5" style="18" customWidth="1"/>
    <col min="6898" max="6898" width="22.1640625" style="18" customWidth="1"/>
    <col min="6899" max="6899" width="25.5" style="18" customWidth="1"/>
    <col min="6900" max="6900" width="56.33203125" style="18" customWidth="1"/>
    <col min="6901" max="6901" width="66.1640625" style="18" customWidth="1"/>
    <col min="6902" max="6907" width="11" style="18" customWidth="1"/>
    <col min="6908" max="6908" width="13.5" style="18" customWidth="1"/>
    <col min="6909" max="6909" width="9" style="18" customWidth="1"/>
    <col min="6910" max="7150" width="9.33203125" style="18"/>
    <col min="7151" max="7151" width="9.6640625" style="18" customWidth="1"/>
    <col min="7152" max="7152" width="58.1640625" style="18" customWidth="1"/>
    <col min="7153" max="7153" width="33.5" style="18" customWidth="1"/>
    <col min="7154" max="7154" width="22.1640625" style="18" customWidth="1"/>
    <col min="7155" max="7155" width="25.5" style="18" customWidth="1"/>
    <col min="7156" max="7156" width="56.33203125" style="18" customWidth="1"/>
    <col min="7157" max="7157" width="66.1640625" style="18" customWidth="1"/>
    <col min="7158" max="7163" width="11" style="18" customWidth="1"/>
    <col min="7164" max="7164" width="13.5" style="18" customWidth="1"/>
    <col min="7165" max="7165" width="9" style="18" customWidth="1"/>
    <col min="7166" max="7406" width="9.33203125" style="18"/>
    <col min="7407" max="7407" width="9.6640625" style="18" customWidth="1"/>
    <col min="7408" max="7408" width="58.1640625" style="18" customWidth="1"/>
    <col min="7409" max="7409" width="33.5" style="18" customWidth="1"/>
    <col min="7410" max="7410" width="22.1640625" style="18" customWidth="1"/>
    <col min="7411" max="7411" width="25.5" style="18" customWidth="1"/>
    <col min="7412" max="7412" width="56.33203125" style="18" customWidth="1"/>
    <col min="7413" max="7413" width="66.1640625" style="18" customWidth="1"/>
    <col min="7414" max="7419" width="11" style="18" customWidth="1"/>
    <col min="7420" max="7420" width="13.5" style="18" customWidth="1"/>
    <col min="7421" max="7421" width="9" style="18" customWidth="1"/>
    <col min="7422" max="7662" width="9.33203125" style="18"/>
    <col min="7663" max="7663" width="9.6640625" style="18" customWidth="1"/>
    <col min="7664" max="7664" width="58.1640625" style="18" customWidth="1"/>
    <col min="7665" max="7665" width="33.5" style="18" customWidth="1"/>
    <col min="7666" max="7666" width="22.1640625" style="18" customWidth="1"/>
    <col min="7667" max="7667" width="25.5" style="18" customWidth="1"/>
    <col min="7668" max="7668" width="56.33203125" style="18" customWidth="1"/>
    <col min="7669" max="7669" width="66.1640625" style="18" customWidth="1"/>
    <col min="7670" max="7675" width="11" style="18" customWidth="1"/>
    <col min="7676" max="7676" width="13.5" style="18" customWidth="1"/>
    <col min="7677" max="7677" width="9" style="18" customWidth="1"/>
    <col min="7678" max="7918" width="9.33203125" style="18"/>
    <col min="7919" max="7919" width="9.6640625" style="18" customWidth="1"/>
    <col min="7920" max="7920" width="58.1640625" style="18" customWidth="1"/>
    <col min="7921" max="7921" width="33.5" style="18" customWidth="1"/>
    <col min="7922" max="7922" width="22.1640625" style="18" customWidth="1"/>
    <col min="7923" max="7923" width="25.5" style="18" customWidth="1"/>
    <col min="7924" max="7924" width="56.33203125" style="18" customWidth="1"/>
    <col min="7925" max="7925" width="66.1640625" style="18" customWidth="1"/>
    <col min="7926" max="7931" width="11" style="18" customWidth="1"/>
    <col min="7932" max="7932" width="13.5" style="18" customWidth="1"/>
    <col min="7933" max="7933" width="9" style="18" customWidth="1"/>
    <col min="7934" max="8174" width="9.33203125" style="18"/>
    <col min="8175" max="8175" width="9.6640625" style="18" customWidth="1"/>
    <col min="8176" max="8176" width="58.1640625" style="18" customWidth="1"/>
    <col min="8177" max="8177" width="33.5" style="18" customWidth="1"/>
    <col min="8178" max="8178" width="22.1640625" style="18" customWidth="1"/>
    <col min="8179" max="8179" width="25.5" style="18" customWidth="1"/>
    <col min="8180" max="8180" width="56.33203125" style="18" customWidth="1"/>
    <col min="8181" max="8181" width="66.1640625" style="18" customWidth="1"/>
    <col min="8182" max="8187" width="11" style="18" customWidth="1"/>
    <col min="8188" max="8188" width="13.5" style="18" customWidth="1"/>
    <col min="8189" max="8189" width="9" style="18" customWidth="1"/>
    <col min="8190" max="8430" width="9.33203125" style="18"/>
    <col min="8431" max="8431" width="9.6640625" style="18" customWidth="1"/>
    <col min="8432" max="8432" width="58.1640625" style="18" customWidth="1"/>
    <col min="8433" max="8433" width="33.5" style="18" customWidth="1"/>
    <col min="8434" max="8434" width="22.1640625" style="18" customWidth="1"/>
    <col min="8435" max="8435" width="25.5" style="18" customWidth="1"/>
    <col min="8436" max="8436" width="56.33203125" style="18" customWidth="1"/>
    <col min="8437" max="8437" width="66.1640625" style="18" customWidth="1"/>
    <col min="8438" max="8443" width="11" style="18" customWidth="1"/>
    <col min="8444" max="8444" width="13.5" style="18" customWidth="1"/>
    <col min="8445" max="8445" width="9" style="18" customWidth="1"/>
    <col min="8446" max="8686" width="9.33203125" style="18"/>
    <col min="8687" max="8687" width="9.6640625" style="18" customWidth="1"/>
    <col min="8688" max="8688" width="58.1640625" style="18" customWidth="1"/>
    <col min="8689" max="8689" width="33.5" style="18" customWidth="1"/>
    <col min="8690" max="8690" width="22.1640625" style="18" customWidth="1"/>
    <col min="8691" max="8691" width="25.5" style="18" customWidth="1"/>
    <col min="8692" max="8692" width="56.33203125" style="18" customWidth="1"/>
    <col min="8693" max="8693" width="66.1640625" style="18" customWidth="1"/>
    <col min="8694" max="8699" width="11" style="18" customWidth="1"/>
    <col min="8700" max="8700" width="13.5" style="18" customWidth="1"/>
    <col min="8701" max="8701" width="9" style="18" customWidth="1"/>
    <col min="8702" max="8942" width="9.33203125" style="18"/>
    <col min="8943" max="8943" width="9.6640625" style="18" customWidth="1"/>
    <col min="8944" max="8944" width="58.1640625" style="18" customWidth="1"/>
    <col min="8945" max="8945" width="33.5" style="18" customWidth="1"/>
    <col min="8946" max="8946" width="22.1640625" style="18" customWidth="1"/>
    <col min="8947" max="8947" width="25.5" style="18" customWidth="1"/>
    <col min="8948" max="8948" width="56.33203125" style="18" customWidth="1"/>
    <col min="8949" max="8949" width="66.1640625" style="18" customWidth="1"/>
    <col min="8950" max="8955" width="11" style="18" customWidth="1"/>
    <col min="8956" max="8956" width="13.5" style="18" customWidth="1"/>
    <col min="8957" max="8957" width="9" style="18" customWidth="1"/>
    <col min="8958" max="9198" width="9.33203125" style="18"/>
    <col min="9199" max="9199" width="9.6640625" style="18" customWidth="1"/>
    <col min="9200" max="9200" width="58.1640625" style="18" customWidth="1"/>
    <col min="9201" max="9201" width="33.5" style="18" customWidth="1"/>
    <col min="9202" max="9202" width="22.1640625" style="18" customWidth="1"/>
    <col min="9203" max="9203" width="25.5" style="18" customWidth="1"/>
    <col min="9204" max="9204" width="56.33203125" style="18" customWidth="1"/>
    <col min="9205" max="9205" width="66.1640625" style="18" customWidth="1"/>
    <col min="9206" max="9211" width="11" style="18" customWidth="1"/>
    <col min="9212" max="9212" width="13.5" style="18" customWidth="1"/>
    <col min="9213" max="9213" width="9" style="18" customWidth="1"/>
    <col min="9214" max="9454" width="9.33203125" style="18"/>
    <col min="9455" max="9455" width="9.6640625" style="18" customWidth="1"/>
    <col min="9456" max="9456" width="58.1640625" style="18" customWidth="1"/>
    <col min="9457" max="9457" width="33.5" style="18" customWidth="1"/>
    <col min="9458" max="9458" width="22.1640625" style="18" customWidth="1"/>
    <col min="9459" max="9459" width="25.5" style="18" customWidth="1"/>
    <col min="9460" max="9460" width="56.33203125" style="18" customWidth="1"/>
    <col min="9461" max="9461" width="66.1640625" style="18" customWidth="1"/>
    <col min="9462" max="9467" width="11" style="18" customWidth="1"/>
    <col min="9468" max="9468" width="13.5" style="18" customWidth="1"/>
    <col min="9469" max="9469" width="9" style="18" customWidth="1"/>
    <col min="9470" max="9710" width="9.33203125" style="18"/>
    <col min="9711" max="9711" width="9.6640625" style="18" customWidth="1"/>
    <col min="9712" max="9712" width="58.1640625" style="18" customWidth="1"/>
    <col min="9713" max="9713" width="33.5" style="18" customWidth="1"/>
    <col min="9714" max="9714" width="22.1640625" style="18" customWidth="1"/>
    <col min="9715" max="9715" width="25.5" style="18" customWidth="1"/>
    <col min="9716" max="9716" width="56.33203125" style="18" customWidth="1"/>
    <col min="9717" max="9717" width="66.1640625" style="18" customWidth="1"/>
    <col min="9718" max="9723" width="11" style="18" customWidth="1"/>
    <col min="9724" max="9724" width="13.5" style="18" customWidth="1"/>
    <col min="9725" max="9725" width="9" style="18" customWidth="1"/>
    <col min="9726" max="9966" width="9.33203125" style="18"/>
    <col min="9967" max="9967" width="9.6640625" style="18" customWidth="1"/>
    <col min="9968" max="9968" width="58.1640625" style="18" customWidth="1"/>
    <col min="9969" max="9969" width="33.5" style="18" customWidth="1"/>
    <col min="9970" max="9970" width="22.1640625" style="18" customWidth="1"/>
    <col min="9971" max="9971" width="25.5" style="18" customWidth="1"/>
    <col min="9972" max="9972" width="56.33203125" style="18" customWidth="1"/>
    <col min="9973" max="9973" width="66.1640625" style="18" customWidth="1"/>
    <col min="9974" max="9979" width="11" style="18" customWidth="1"/>
    <col min="9980" max="9980" width="13.5" style="18" customWidth="1"/>
    <col min="9981" max="9981" width="9" style="18" customWidth="1"/>
    <col min="9982" max="10222" width="9.33203125" style="18"/>
    <col min="10223" max="10223" width="9.6640625" style="18" customWidth="1"/>
    <col min="10224" max="10224" width="58.1640625" style="18" customWidth="1"/>
    <col min="10225" max="10225" width="33.5" style="18" customWidth="1"/>
    <col min="10226" max="10226" width="22.1640625" style="18" customWidth="1"/>
    <col min="10227" max="10227" width="25.5" style="18" customWidth="1"/>
    <col min="10228" max="10228" width="56.33203125" style="18" customWidth="1"/>
    <col min="10229" max="10229" width="66.1640625" style="18" customWidth="1"/>
    <col min="10230" max="10235" width="11" style="18" customWidth="1"/>
    <col min="10236" max="10236" width="13.5" style="18" customWidth="1"/>
    <col min="10237" max="10237" width="9" style="18" customWidth="1"/>
    <col min="10238" max="10478" width="9.33203125" style="18"/>
    <col min="10479" max="10479" width="9.6640625" style="18" customWidth="1"/>
    <col min="10480" max="10480" width="58.1640625" style="18" customWidth="1"/>
    <col min="10481" max="10481" width="33.5" style="18" customWidth="1"/>
    <col min="10482" max="10482" width="22.1640625" style="18" customWidth="1"/>
    <col min="10483" max="10483" width="25.5" style="18" customWidth="1"/>
    <col min="10484" max="10484" width="56.33203125" style="18" customWidth="1"/>
    <col min="10485" max="10485" width="66.1640625" style="18" customWidth="1"/>
    <col min="10486" max="10491" width="11" style="18" customWidth="1"/>
    <col min="10492" max="10492" width="13.5" style="18" customWidth="1"/>
    <col min="10493" max="10493" width="9" style="18" customWidth="1"/>
    <col min="10494" max="10734" width="9.33203125" style="18"/>
    <col min="10735" max="10735" width="9.6640625" style="18" customWidth="1"/>
    <col min="10736" max="10736" width="58.1640625" style="18" customWidth="1"/>
    <col min="10737" max="10737" width="33.5" style="18" customWidth="1"/>
    <col min="10738" max="10738" width="22.1640625" style="18" customWidth="1"/>
    <col min="10739" max="10739" width="25.5" style="18" customWidth="1"/>
    <col min="10740" max="10740" width="56.33203125" style="18" customWidth="1"/>
    <col min="10741" max="10741" width="66.1640625" style="18" customWidth="1"/>
    <col min="10742" max="10747" width="11" style="18" customWidth="1"/>
    <col min="10748" max="10748" width="13.5" style="18" customWidth="1"/>
    <col min="10749" max="10749" width="9" style="18" customWidth="1"/>
    <col min="10750" max="10990" width="9.33203125" style="18"/>
    <col min="10991" max="10991" width="9.6640625" style="18" customWidth="1"/>
    <col min="10992" max="10992" width="58.1640625" style="18" customWidth="1"/>
    <col min="10993" max="10993" width="33.5" style="18" customWidth="1"/>
    <col min="10994" max="10994" width="22.1640625" style="18" customWidth="1"/>
    <col min="10995" max="10995" width="25.5" style="18" customWidth="1"/>
    <col min="10996" max="10996" width="56.33203125" style="18" customWidth="1"/>
    <col min="10997" max="10997" width="66.1640625" style="18" customWidth="1"/>
    <col min="10998" max="11003" width="11" style="18" customWidth="1"/>
    <col min="11004" max="11004" width="13.5" style="18" customWidth="1"/>
    <col min="11005" max="11005" width="9" style="18" customWidth="1"/>
    <col min="11006" max="11246" width="9.33203125" style="18"/>
    <col min="11247" max="11247" width="9.6640625" style="18" customWidth="1"/>
    <col min="11248" max="11248" width="58.1640625" style="18" customWidth="1"/>
    <col min="11249" max="11249" width="33.5" style="18" customWidth="1"/>
    <col min="11250" max="11250" width="22.1640625" style="18" customWidth="1"/>
    <col min="11251" max="11251" width="25.5" style="18" customWidth="1"/>
    <col min="11252" max="11252" width="56.33203125" style="18" customWidth="1"/>
    <col min="11253" max="11253" width="66.1640625" style="18" customWidth="1"/>
    <col min="11254" max="11259" width="11" style="18" customWidth="1"/>
    <col min="11260" max="11260" width="13.5" style="18" customWidth="1"/>
    <col min="11261" max="11261" width="9" style="18" customWidth="1"/>
    <col min="11262" max="11502" width="9.33203125" style="18"/>
    <col min="11503" max="11503" width="9.6640625" style="18" customWidth="1"/>
    <col min="11504" max="11504" width="58.1640625" style="18" customWidth="1"/>
    <col min="11505" max="11505" width="33.5" style="18" customWidth="1"/>
    <col min="11506" max="11506" width="22.1640625" style="18" customWidth="1"/>
    <col min="11507" max="11507" width="25.5" style="18" customWidth="1"/>
    <col min="11508" max="11508" width="56.33203125" style="18" customWidth="1"/>
    <col min="11509" max="11509" width="66.1640625" style="18" customWidth="1"/>
    <col min="11510" max="11515" width="11" style="18" customWidth="1"/>
    <col min="11516" max="11516" width="13.5" style="18" customWidth="1"/>
    <col min="11517" max="11517" width="9" style="18" customWidth="1"/>
    <col min="11518" max="11758" width="9.33203125" style="18"/>
    <col min="11759" max="11759" width="9.6640625" style="18" customWidth="1"/>
    <col min="11760" max="11760" width="58.1640625" style="18" customWidth="1"/>
    <col min="11761" max="11761" width="33.5" style="18" customWidth="1"/>
    <col min="11762" max="11762" width="22.1640625" style="18" customWidth="1"/>
    <col min="11763" max="11763" width="25.5" style="18" customWidth="1"/>
    <col min="11764" max="11764" width="56.33203125" style="18" customWidth="1"/>
    <col min="11765" max="11765" width="66.1640625" style="18" customWidth="1"/>
    <col min="11766" max="11771" width="11" style="18" customWidth="1"/>
    <col min="11772" max="11772" width="13.5" style="18" customWidth="1"/>
    <col min="11773" max="11773" width="9" style="18" customWidth="1"/>
    <col min="11774" max="12014" width="9.33203125" style="18"/>
    <col min="12015" max="12015" width="9.6640625" style="18" customWidth="1"/>
    <col min="12016" max="12016" width="58.1640625" style="18" customWidth="1"/>
    <col min="12017" max="12017" width="33.5" style="18" customWidth="1"/>
    <col min="12018" max="12018" width="22.1640625" style="18" customWidth="1"/>
    <col min="12019" max="12019" width="25.5" style="18" customWidth="1"/>
    <col min="12020" max="12020" width="56.33203125" style="18" customWidth="1"/>
    <col min="12021" max="12021" width="66.1640625" style="18" customWidth="1"/>
    <col min="12022" max="12027" width="11" style="18" customWidth="1"/>
    <col min="12028" max="12028" width="13.5" style="18" customWidth="1"/>
    <col min="12029" max="12029" width="9" style="18" customWidth="1"/>
    <col min="12030" max="12270" width="9.33203125" style="18"/>
    <col min="12271" max="12271" width="9.6640625" style="18" customWidth="1"/>
    <col min="12272" max="12272" width="58.1640625" style="18" customWidth="1"/>
    <col min="12273" max="12273" width="33.5" style="18" customWidth="1"/>
    <col min="12274" max="12274" width="22.1640625" style="18" customWidth="1"/>
    <col min="12275" max="12275" width="25.5" style="18" customWidth="1"/>
    <col min="12276" max="12276" width="56.33203125" style="18" customWidth="1"/>
    <col min="12277" max="12277" width="66.1640625" style="18" customWidth="1"/>
    <col min="12278" max="12283" width="11" style="18" customWidth="1"/>
    <col min="12284" max="12284" width="13.5" style="18" customWidth="1"/>
    <col min="12285" max="12285" width="9" style="18" customWidth="1"/>
    <col min="12286" max="12526" width="9.33203125" style="18"/>
    <col min="12527" max="12527" width="9.6640625" style="18" customWidth="1"/>
    <col min="12528" max="12528" width="58.1640625" style="18" customWidth="1"/>
    <col min="12529" max="12529" width="33.5" style="18" customWidth="1"/>
    <col min="12530" max="12530" width="22.1640625" style="18" customWidth="1"/>
    <col min="12531" max="12531" width="25.5" style="18" customWidth="1"/>
    <col min="12532" max="12532" width="56.33203125" style="18" customWidth="1"/>
    <col min="12533" max="12533" width="66.1640625" style="18" customWidth="1"/>
    <col min="12534" max="12539" width="11" style="18" customWidth="1"/>
    <col min="12540" max="12540" width="13.5" style="18" customWidth="1"/>
    <col min="12541" max="12541" width="9" style="18" customWidth="1"/>
    <col min="12542" max="12782" width="9.33203125" style="18"/>
    <col min="12783" max="12783" width="9.6640625" style="18" customWidth="1"/>
    <col min="12784" max="12784" width="58.1640625" style="18" customWidth="1"/>
    <col min="12785" max="12785" width="33.5" style="18" customWidth="1"/>
    <col min="12786" max="12786" width="22.1640625" style="18" customWidth="1"/>
    <col min="12787" max="12787" width="25.5" style="18" customWidth="1"/>
    <col min="12788" max="12788" width="56.33203125" style="18" customWidth="1"/>
    <col min="12789" max="12789" width="66.1640625" style="18" customWidth="1"/>
    <col min="12790" max="12795" width="11" style="18" customWidth="1"/>
    <col min="12796" max="12796" width="13.5" style="18" customWidth="1"/>
    <col min="12797" max="12797" width="9" style="18" customWidth="1"/>
    <col min="12798" max="13038" width="9.33203125" style="18"/>
    <col min="13039" max="13039" width="9.6640625" style="18" customWidth="1"/>
    <col min="13040" max="13040" width="58.1640625" style="18" customWidth="1"/>
    <col min="13041" max="13041" width="33.5" style="18" customWidth="1"/>
    <col min="13042" max="13042" width="22.1640625" style="18" customWidth="1"/>
    <col min="13043" max="13043" width="25.5" style="18" customWidth="1"/>
    <col min="13044" max="13044" width="56.33203125" style="18" customWidth="1"/>
    <col min="13045" max="13045" width="66.1640625" style="18" customWidth="1"/>
    <col min="13046" max="13051" width="11" style="18" customWidth="1"/>
    <col min="13052" max="13052" width="13.5" style="18" customWidth="1"/>
    <col min="13053" max="13053" width="9" style="18" customWidth="1"/>
    <col min="13054" max="13294" width="9.33203125" style="18"/>
    <col min="13295" max="13295" width="9.6640625" style="18" customWidth="1"/>
    <col min="13296" max="13296" width="58.1640625" style="18" customWidth="1"/>
    <col min="13297" max="13297" width="33.5" style="18" customWidth="1"/>
    <col min="13298" max="13298" width="22.1640625" style="18" customWidth="1"/>
    <col min="13299" max="13299" width="25.5" style="18" customWidth="1"/>
    <col min="13300" max="13300" width="56.33203125" style="18" customWidth="1"/>
    <col min="13301" max="13301" width="66.1640625" style="18" customWidth="1"/>
    <col min="13302" max="13307" width="11" style="18" customWidth="1"/>
    <col min="13308" max="13308" width="13.5" style="18" customWidth="1"/>
    <col min="13309" max="13309" width="9" style="18" customWidth="1"/>
    <col min="13310" max="13550" width="9.33203125" style="18"/>
    <col min="13551" max="13551" width="9.6640625" style="18" customWidth="1"/>
    <col min="13552" max="13552" width="58.1640625" style="18" customWidth="1"/>
    <col min="13553" max="13553" width="33.5" style="18" customWidth="1"/>
    <col min="13554" max="13554" width="22.1640625" style="18" customWidth="1"/>
    <col min="13555" max="13555" width="25.5" style="18" customWidth="1"/>
    <col min="13556" max="13556" width="56.33203125" style="18" customWidth="1"/>
    <col min="13557" max="13557" width="66.1640625" style="18" customWidth="1"/>
    <col min="13558" max="13563" width="11" style="18" customWidth="1"/>
    <col min="13564" max="13564" width="13.5" style="18" customWidth="1"/>
    <col min="13565" max="13565" width="9" style="18" customWidth="1"/>
    <col min="13566" max="13806" width="9.33203125" style="18"/>
    <col min="13807" max="13807" width="9.6640625" style="18" customWidth="1"/>
    <col min="13808" max="13808" width="58.1640625" style="18" customWidth="1"/>
    <col min="13809" max="13809" width="33.5" style="18" customWidth="1"/>
    <col min="13810" max="13810" width="22.1640625" style="18" customWidth="1"/>
    <col min="13811" max="13811" width="25.5" style="18" customWidth="1"/>
    <col min="13812" max="13812" width="56.33203125" style="18" customWidth="1"/>
    <col min="13813" max="13813" width="66.1640625" style="18" customWidth="1"/>
    <col min="13814" max="13819" width="11" style="18" customWidth="1"/>
    <col min="13820" max="13820" width="13.5" style="18" customWidth="1"/>
    <col min="13821" max="13821" width="9" style="18" customWidth="1"/>
    <col min="13822" max="14062" width="9.33203125" style="18"/>
    <col min="14063" max="14063" width="9.6640625" style="18" customWidth="1"/>
    <col min="14064" max="14064" width="58.1640625" style="18" customWidth="1"/>
    <col min="14065" max="14065" width="33.5" style="18" customWidth="1"/>
    <col min="14066" max="14066" width="22.1640625" style="18" customWidth="1"/>
    <col min="14067" max="14067" width="25.5" style="18" customWidth="1"/>
    <col min="14068" max="14068" width="56.33203125" style="18" customWidth="1"/>
    <col min="14069" max="14069" width="66.1640625" style="18" customWidth="1"/>
    <col min="14070" max="14075" width="11" style="18" customWidth="1"/>
    <col min="14076" max="14076" width="13.5" style="18" customWidth="1"/>
    <col min="14077" max="14077" width="9" style="18" customWidth="1"/>
    <col min="14078" max="14318" width="9.33203125" style="18"/>
    <col min="14319" max="14319" width="9.6640625" style="18" customWidth="1"/>
    <col min="14320" max="14320" width="58.1640625" style="18" customWidth="1"/>
    <col min="14321" max="14321" width="33.5" style="18" customWidth="1"/>
    <col min="14322" max="14322" width="22.1640625" style="18" customWidth="1"/>
    <col min="14323" max="14323" width="25.5" style="18" customWidth="1"/>
    <col min="14324" max="14324" width="56.33203125" style="18" customWidth="1"/>
    <col min="14325" max="14325" width="66.1640625" style="18" customWidth="1"/>
    <col min="14326" max="14331" width="11" style="18" customWidth="1"/>
    <col min="14332" max="14332" width="13.5" style="18" customWidth="1"/>
    <col min="14333" max="14333" width="9" style="18" customWidth="1"/>
    <col min="14334" max="14574" width="9.33203125" style="18"/>
    <col min="14575" max="14575" width="9.6640625" style="18" customWidth="1"/>
    <col min="14576" max="14576" width="58.1640625" style="18" customWidth="1"/>
    <col min="14577" max="14577" width="33.5" style="18" customWidth="1"/>
    <col min="14578" max="14578" width="22.1640625" style="18" customWidth="1"/>
    <col min="14579" max="14579" width="25.5" style="18" customWidth="1"/>
    <col min="14580" max="14580" width="56.33203125" style="18" customWidth="1"/>
    <col min="14581" max="14581" width="66.1640625" style="18" customWidth="1"/>
    <col min="14582" max="14587" width="11" style="18" customWidth="1"/>
    <col min="14588" max="14588" width="13.5" style="18" customWidth="1"/>
    <col min="14589" max="14589" width="9" style="18" customWidth="1"/>
    <col min="14590" max="14830" width="9.33203125" style="18"/>
    <col min="14831" max="14831" width="9.6640625" style="18" customWidth="1"/>
    <col min="14832" max="14832" width="58.1640625" style="18" customWidth="1"/>
    <col min="14833" max="14833" width="33.5" style="18" customWidth="1"/>
    <col min="14834" max="14834" width="22.1640625" style="18" customWidth="1"/>
    <col min="14835" max="14835" width="25.5" style="18" customWidth="1"/>
    <col min="14836" max="14836" width="56.33203125" style="18" customWidth="1"/>
    <col min="14837" max="14837" width="66.1640625" style="18" customWidth="1"/>
    <col min="14838" max="14843" width="11" style="18" customWidth="1"/>
    <col min="14844" max="14844" width="13.5" style="18" customWidth="1"/>
    <col min="14845" max="14845" width="9" style="18" customWidth="1"/>
    <col min="14846" max="15086" width="9.33203125" style="18"/>
    <col min="15087" max="15087" width="9.6640625" style="18" customWidth="1"/>
    <col min="15088" max="15088" width="58.1640625" style="18" customWidth="1"/>
    <col min="15089" max="15089" width="33.5" style="18" customWidth="1"/>
    <col min="15090" max="15090" width="22.1640625" style="18" customWidth="1"/>
    <col min="15091" max="15091" width="25.5" style="18" customWidth="1"/>
    <col min="15092" max="15092" width="56.33203125" style="18" customWidth="1"/>
    <col min="15093" max="15093" width="66.1640625" style="18" customWidth="1"/>
    <col min="15094" max="15099" width="11" style="18" customWidth="1"/>
    <col min="15100" max="15100" width="13.5" style="18" customWidth="1"/>
    <col min="15101" max="15101" width="9" style="18" customWidth="1"/>
    <col min="15102" max="15342" width="9.33203125" style="18"/>
    <col min="15343" max="15343" width="9.6640625" style="18" customWidth="1"/>
    <col min="15344" max="15344" width="58.1640625" style="18" customWidth="1"/>
    <col min="15345" max="15345" width="33.5" style="18" customWidth="1"/>
    <col min="15346" max="15346" width="22.1640625" style="18" customWidth="1"/>
    <col min="15347" max="15347" width="25.5" style="18" customWidth="1"/>
    <col min="15348" max="15348" width="56.33203125" style="18" customWidth="1"/>
    <col min="15349" max="15349" width="66.1640625" style="18" customWidth="1"/>
    <col min="15350" max="15355" width="11" style="18" customWidth="1"/>
    <col min="15356" max="15356" width="13.5" style="18" customWidth="1"/>
    <col min="15357" max="15357" width="9" style="18" customWidth="1"/>
    <col min="15358" max="15598" width="9.33203125" style="18"/>
    <col min="15599" max="15599" width="9.6640625" style="18" customWidth="1"/>
    <col min="15600" max="15600" width="58.1640625" style="18" customWidth="1"/>
    <col min="15601" max="15601" width="33.5" style="18" customWidth="1"/>
    <col min="15602" max="15602" width="22.1640625" style="18" customWidth="1"/>
    <col min="15603" max="15603" width="25.5" style="18" customWidth="1"/>
    <col min="15604" max="15604" width="56.33203125" style="18" customWidth="1"/>
    <col min="15605" max="15605" width="66.1640625" style="18" customWidth="1"/>
    <col min="15606" max="15611" width="11" style="18" customWidth="1"/>
    <col min="15612" max="15612" width="13.5" style="18" customWidth="1"/>
    <col min="15613" max="15613" width="9" style="18" customWidth="1"/>
    <col min="15614" max="15854" width="9.33203125" style="18"/>
    <col min="15855" max="15855" width="9.6640625" style="18" customWidth="1"/>
    <col min="15856" max="15856" width="58.1640625" style="18" customWidth="1"/>
    <col min="15857" max="15857" width="33.5" style="18" customWidth="1"/>
    <col min="15858" max="15858" width="22.1640625" style="18" customWidth="1"/>
    <col min="15859" max="15859" width="25.5" style="18" customWidth="1"/>
    <col min="15860" max="15860" width="56.33203125" style="18" customWidth="1"/>
    <col min="15861" max="15861" width="66.1640625" style="18" customWidth="1"/>
    <col min="15862" max="15867" width="11" style="18" customWidth="1"/>
    <col min="15868" max="15868" width="13.5" style="18" customWidth="1"/>
    <col min="15869" max="15869" width="9" style="18" customWidth="1"/>
    <col min="15870" max="16110" width="9.33203125" style="18"/>
    <col min="16111" max="16111" width="9.6640625" style="18" customWidth="1"/>
    <col min="16112" max="16112" width="58.1640625" style="18" customWidth="1"/>
    <col min="16113" max="16113" width="33.5" style="18" customWidth="1"/>
    <col min="16114" max="16114" width="22.1640625" style="18" customWidth="1"/>
    <col min="16115" max="16115" width="25.5" style="18" customWidth="1"/>
    <col min="16116" max="16116" width="56.33203125" style="18" customWidth="1"/>
    <col min="16117" max="16117" width="66.1640625" style="18" customWidth="1"/>
    <col min="16118" max="16123" width="11" style="18" customWidth="1"/>
    <col min="16124" max="16124" width="13.5" style="18" customWidth="1"/>
    <col min="16125" max="16125" width="9" style="18" customWidth="1"/>
    <col min="16126" max="16384" width="9.33203125" style="18"/>
  </cols>
  <sheetData>
    <row r="1" spans="1:26" s="16" customFormat="1" ht="22.5" customHeight="1">
      <c r="A1" s="306" t="s">
        <v>208</v>
      </c>
      <c r="B1" s="306"/>
      <c r="C1" s="306"/>
      <c r="D1" s="306"/>
      <c r="E1" s="306"/>
      <c r="F1" s="306"/>
      <c r="G1" s="306"/>
      <c r="H1" s="306"/>
      <c r="I1" s="306"/>
      <c r="J1" s="306"/>
      <c r="K1" s="306"/>
      <c r="L1" s="306"/>
      <c r="M1" s="306"/>
      <c r="N1" s="306"/>
      <c r="O1" s="306"/>
      <c r="P1" s="306"/>
      <c r="Q1" s="306"/>
      <c r="R1" s="306"/>
      <c r="S1" s="306"/>
      <c r="T1" s="306"/>
      <c r="U1" s="306"/>
      <c r="V1" s="306"/>
      <c r="W1" s="306"/>
      <c r="X1" s="306"/>
      <c r="Y1" s="306"/>
    </row>
    <row r="2" spans="1:26" s="17" customFormat="1" ht="24" customHeight="1">
      <c r="A2" s="305" t="s">
        <v>203</v>
      </c>
      <c r="B2" s="305"/>
      <c r="C2" s="305"/>
      <c r="D2" s="305"/>
      <c r="E2" s="305"/>
      <c r="F2" s="305"/>
      <c r="G2" s="305"/>
      <c r="H2" s="305"/>
      <c r="I2" s="305"/>
      <c r="J2" s="305"/>
      <c r="K2" s="305"/>
      <c r="L2" s="305"/>
      <c r="M2" s="305"/>
      <c r="N2" s="305"/>
      <c r="O2" s="305"/>
      <c r="P2" s="305"/>
      <c r="Q2" s="305"/>
      <c r="R2" s="305"/>
      <c r="S2" s="305"/>
      <c r="T2" s="305"/>
      <c r="U2" s="305"/>
      <c r="V2" s="305"/>
      <c r="W2" s="305"/>
      <c r="X2" s="305"/>
      <c r="Y2" s="305"/>
    </row>
    <row r="3" spans="1:26" ht="15" customHeight="1">
      <c r="R3" s="273"/>
    </row>
    <row r="4" spans="1:26" ht="21.75" customHeight="1">
      <c r="A4" s="22"/>
      <c r="B4" s="22"/>
      <c r="C4" s="92"/>
      <c r="D4" s="69"/>
      <c r="E4" s="22"/>
      <c r="F4" s="22"/>
      <c r="G4" s="23"/>
      <c r="H4" s="24"/>
      <c r="I4" s="22"/>
      <c r="J4" s="78"/>
      <c r="K4" s="78"/>
      <c r="L4" s="78"/>
      <c r="M4" s="78" t="s">
        <v>12</v>
      </c>
      <c r="N4" s="78"/>
      <c r="O4" s="78"/>
      <c r="P4" s="78"/>
      <c r="Q4" s="22"/>
      <c r="R4" s="175"/>
      <c r="S4" s="22"/>
      <c r="T4" s="156"/>
      <c r="U4" s="89"/>
      <c r="V4" s="22"/>
      <c r="W4" s="328" t="s">
        <v>12</v>
      </c>
      <c r="X4" s="328"/>
      <c r="Y4" s="328"/>
      <c r="Z4" s="25"/>
    </row>
    <row r="5" spans="1:26" ht="34.5" customHeight="1">
      <c r="A5" s="307" t="s">
        <v>0</v>
      </c>
      <c r="B5" s="308" t="s">
        <v>70</v>
      </c>
      <c r="C5" s="309" t="s">
        <v>71</v>
      </c>
      <c r="D5" s="308" t="s">
        <v>136</v>
      </c>
      <c r="E5" s="312" t="s">
        <v>137</v>
      </c>
      <c r="F5" s="312" t="s">
        <v>138</v>
      </c>
      <c r="G5" s="332" t="s">
        <v>139</v>
      </c>
      <c r="H5" s="308" t="s">
        <v>140</v>
      </c>
      <c r="I5" s="308"/>
      <c r="J5" s="308"/>
      <c r="K5" s="319" t="s">
        <v>141</v>
      </c>
      <c r="L5" s="316"/>
      <c r="M5" s="319" t="s">
        <v>142</v>
      </c>
      <c r="N5" s="322"/>
      <c r="O5" s="322"/>
      <c r="P5" s="323"/>
      <c r="Q5" s="26" t="s">
        <v>143</v>
      </c>
      <c r="R5" s="315" t="s">
        <v>198</v>
      </c>
      <c r="S5" s="315"/>
      <c r="T5" s="316"/>
      <c r="U5" s="319" t="s">
        <v>501</v>
      </c>
      <c r="V5" s="315"/>
      <c r="W5" s="316"/>
      <c r="X5" s="308" t="s">
        <v>127</v>
      </c>
      <c r="Y5" s="308" t="s">
        <v>1</v>
      </c>
      <c r="Z5" s="25"/>
    </row>
    <row r="6" spans="1:26">
      <c r="A6" s="307"/>
      <c r="B6" s="308"/>
      <c r="C6" s="310"/>
      <c r="D6" s="308"/>
      <c r="E6" s="313"/>
      <c r="F6" s="313"/>
      <c r="G6" s="332"/>
      <c r="H6" s="321" t="s">
        <v>144</v>
      </c>
      <c r="I6" s="308" t="s">
        <v>145</v>
      </c>
      <c r="J6" s="308"/>
      <c r="K6" s="333"/>
      <c r="L6" s="334"/>
      <c r="M6" s="324"/>
      <c r="N6" s="325"/>
      <c r="O6" s="325"/>
      <c r="P6" s="326"/>
      <c r="Q6" s="27"/>
      <c r="R6" s="317"/>
      <c r="S6" s="317"/>
      <c r="T6" s="318"/>
      <c r="U6" s="320"/>
      <c r="V6" s="317"/>
      <c r="W6" s="318"/>
      <c r="X6" s="308"/>
      <c r="Y6" s="308"/>
      <c r="Z6" s="25"/>
    </row>
    <row r="7" spans="1:26">
      <c r="A7" s="307"/>
      <c r="B7" s="308"/>
      <c r="C7" s="310"/>
      <c r="D7" s="308"/>
      <c r="E7" s="313"/>
      <c r="F7" s="313"/>
      <c r="G7" s="332"/>
      <c r="H7" s="321"/>
      <c r="I7" s="312" t="s">
        <v>146</v>
      </c>
      <c r="J7" s="312" t="s">
        <v>147</v>
      </c>
      <c r="K7" s="308"/>
      <c r="L7" s="313"/>
      <c r="M7" s="308"/>
      <c r="N7" s="312" t="s">
        <v>35</v>
      </c>
      <c r="O7" s="308" t="s">
        <v>148</v>
      </c>
      <c r="P7" s="308"/>
      <c r="Q7" s="308"/>
      <c r="R7" s="312" t="s">
        <v>35</v>
      </c>
      <c r="S7" s="308" t="s">
        <v>148</v>
      </c>
      <c r="T7" s="308"/>
      <c r="U7" s="330" t="s">
        <v>35</v>
      </c>
      <c r="V7" s="308" t="s">
        <v>148</v>
      </c>
      <c r="W7" s="308"/>
      <c r="X7" s="308"/>
      <c r="Y7" s="308"/>
      <c r="Z7" s="28"/>
    </row>
    <row r="8" spans="1:26" ht="85.5" customHeight="1">
      <c r="A8" s="307"/>
      <c r="B8" s="308"/>
      <c r="C8" s="311"/>
      <c r="D8" s="308"/>
      <c r="E8" s="314"/>
      <c r="F8" s="314"/>
      <c r="G8" s="332"/>
      <c r="H8" s="321"/>
      <c r="I8" s="314"/>
      <c r="J8" s="314"/>
      <c r="K8" s="327"/>
      <c r="L8" s="314"/>
      <c r="M8" s="327"/>
      <c r="N8" s="314"/>
      <c r="O8" s="29" t="s">
        <v>149</v>
      </c>
      <c r="P8" s="29" t="s">
        <v>150</v>
      </c>
      <c r="Q8" s="327"/>
      <c r="R8" s="314"/>
      <c r="S8" s="30" t="s">
        <v>210</v>
      </c>
      <c r="T8" s="157" t="s">
        <v>209</v>
      </c>
      <c r="U8" s="331"/>
      <c r="V8" s="30" t="s">
        <v>210</v>
      </c>
      <c r="W8" s="30" t="s">
        <v>209</v>
      </c>
      <c r="X8" s="308"/>
      <c r="Y8" s="308"/>
      <c r="Z8" s="28"/>
    </row>
    <row r="9" spans="1:26" ht="16.5" customHeight="1">
      <c r="A9" s="31">
        <v>1</v>
      </c>
      <c r="B9" s="32">
        <v>2</v>
      </c>
      <c r="C9" s="33">
        <v>3</v>
      </c>
      <c r="D9" s="31">
        <v>4</v>
      </c>
      <c r="E9" s="31">
        <v>5</v>
      </c>
      <c r="F9" s="31">
        <v>6</v>
      </c>
      <c r="G9" s="33">
        <v>7</v>
      </c>
      <c r="H9" s="34">
        <v>6</v>
      </c>
      <c r="I9" s="32">
        <v>8</v>
      </c>
      <c r="J9" s="31">
        <v>9</v>
      </c>
      <c r="K9" s="32">
        <v>9</v>
      </c>
      <c r="L9" s="31">
        <v>10</v>
      </c>
      <c r="M9" s="32">
        <v>11</v>
      </c>
      <c r="N9" s="31">
        <v>12</v>
      </c>
      <c r="O9" s="32">
        <v>13</v>
      </c>
      <c r="P9" s="31">
        <v>14</v>
      </c>
      <c r="Q9" s="32">
        <v>15</v>
      </c>
      <c r="R9" s="31">
        <v>10</v>
      </c>
      <c r="S9" s="32">
        <v>11</v>
      </c>
      <c r="T9" s="91" t="s">
        <v>107</v>
      </c>
      <c r="U9" s="91" t="s">
        <v>108</v>
      </c>
      <c r="V9" s="31">
        <v>14</v>
      </c>
      <c r="W9" s="31">
        <v>15</v>
      </c>
      <c r="X9" s="31">
        <v>16</v>
      </c>
      <c r="Y9" s="31">
        <v>17</v>
      </c>
      <c r="Z9" s="28"/>
    </row>
    <row r="10" spans="1:26" ht="16.5" customHeight="1">
      <c r="A10" s="276"/>
      <c r="B10" s="277" t="s">
        <v>500</v>
      </c>
      <c r="C10" s="278"/>
      <c r="D10" s="279"/>
      <c r="E10" s="279"/>
      <c r="F10" s="279"/>
      <c r="G10" s="278"/>
      <c r="H10" s="280"/>
      <c r="I10" s="281">
        <f>I11+I34</f>
        <v>118572.15736850799</v>
      </c>
      <c r="J10" s="281">
        <f>J11+J34</f>
        <v>107799.14306228</v>
      </c>
      <c r="K10" s="281">
        <f>K11+K34</f>
        <v>94348.9</v>
      </c>
      <c r="L10" s="281">
        <f>L11+L34</f>
        <v>18845</v>
      </c>
      <c r="M10" s="281">
        <f>M11+M34</f>
        <v>118572.15736850799</v>
      </c>
      <c r="N10" s="281">
        <f>N11+N34</f>
        <v>107799.14306228</v>
      </c>
      <c r="O10" s="281">
        <f>O11+O34</f>
        <v>0</v>
      </c>
      <c r="P10" s="281">
        <f>P11+P34</f>
        <v>0</v>
      </c>
      <c r="Q10" s="281">
        <f>Q11+Q34</f>
        <v>34568.400000000001</v>
      </c>
      <c r="R10" s="281">
        <f>R11+R34</f>
        <v>44548.428</v>
      </c>
      <c r="S10" s="281">
        <f>S11+S34</f>
        <v>34015</v>
      </c>
      <c r="T10" s="281">
        <f>T11+T34</f>
        <v>10533.428</v>
      </c>
      <c r="U10" s="281">
        <f>U11+U34</f>
        <v>9075.0390000000007</v>
      </c>
      <c r="V10" s="281">
        <f>V11+V34</f>
        <v>9001.2330000000002</v>
      </c>
      <c r="W10" s="281">
        <f>W11+W34</f>
        <v>73.805999999999997</v>
      </c>
      <c r="X10" s="282">
        <f>U10/R10*100</f>
        <v>20.371176733778352</v>
      </c>
      <c r="Y10" s="279"/>
      <c r="Z10" s="28"/>
    </row>
    <row r="11" spans="1:26" ht="28.5" customHeight="1">
      <c r="A11" s="99" t="s">
        <v>129</v>
      </c>
      <c r="B11" s="174" t="s">
        <v>211</v>
      </c>
      <c r="C11" s="100"/>
      <c r="D11" s="101"/>
      <c r="E11" s="101"/>
      <c r="F11" s="101"/>
      <c r="G11" s="102"/>
      <c r="H11" s="103"/>
      <c r="I11" s="104">
        <f>I12</f>
        <v>118572.15736850799</v>
      </c>
      <c r="J11" s="104">
        <f t="shared" ref="J11:Y11" si="0">J12</f>
        <v>107799.14306228</v>
      </c>
      <c r="K11" s="104">
        <f t="shared" si="0"/>
        <v>94348.9</v>
      </c>
      <c r="L11" s="104">
        <f t="shared" si="0"/>
        <v>18845</v>
      </c>
      <c r="M11" s="104">
        <f t="shared" si="0"/>
        <v>118572.15736850799</v>
      </c>
      <c r="N11" s="104">
        <f t="shared" si="0"/>
        <v>107799.14306228</v>
      </c>
      <c r="O11" s="104">
        <f t="shared" si="0"/>
        <v>0</v>
      </c>
      <c r="P11" s="104">
        <f t="shared" si="0"/>
        <v>0</v>
      </c>
      <c r="Q11" s="104">
        <f t="shared" si="0"/>
        <v>34568.400000000001</v>
      </c>
      <c r="R11" s="104">
        <f t="shared" si="0"/>
        <v>34015</v>
      </c>
      <c r="S11" s="104">
        <f t="shared" si="0"/>
        <v>34015</v>
      </c>
      <c r="T11" s="104">
        <f t="shared" si="0"/>
        <v>0</v>
      </c>
      <c r="U11" s="104">
        <f t="shared" si="0"/>
        <v>9001.2330000000002</v>
      </c>
      <c r="V11" s="104">
        <f t="shared" si="0"/>
        <v>9001.2330000000002</v>
      </c>
      <c r="W11" s="104">
        <f t="shared" si="0"/>
        <v>0</v>
      </c>
      <c r="X11" s="104">
        <f t="shared" si="0"/>
        <v>60.788371355217222</v>
      </c>
      <c r="Y11" s="104">
        <f>Y12</f>
        <v>0</v>
      </c>
      <c r="Z11" s="25"/>
    </row>
    <row r="12" spans="1:26" ht="56.25" customHeight="1">
      <c r="A12" s="83" t="s">
        <v>13</v>
      </c>
      <c r="B12" s="84" t="s">
        <v>72</v>
      </c>
      <c r="C12" s="85"/>
      <c r="D12" s="83"/>
      <c r="E12" s="83"/>
      <c r="F12" s="83"/>
      <c r="G12" s="85"/>
      <c r="H12" s="86"/>
      <c r="I12" s="87">
        <f>+I19+I22+I26</f>
        <v>118572.15736850799</v>
      </c>
      <c r="J12" s="87">
        <f t="shared" ref="J12:Y12" si="1">+J19+J22+J26</f>
        <v>107799.14306228</v>
      </c>
      <c r="K12" s="87">
        <f t="shared" si="1"/>
        <v>94348.9</v>
      </c>
      <c r="L12" s="87">
        <f t="shared" si="1"/>
        <v>18845</v>
      </c>
      <c r="M12" s="87">
        <f t="shared" si="1"/>
        <v>118572.15736850799</v>
      </c>
      <c r="N12" s="87">
        <f t="shared" si="1"/>
        <v>107799.14306228</v>
      </c>
      <c r="O12" s="87">
        <f t="shared" si="1"/>
        <v>0</v>
      </c>
      <c r="P12" s="87">
        <f t="shared" si="1"/>
        <v>0</v>
      </c>
      <c r="Q12" s="87">
        <f t="shared" si="1"/>
        <v>34568.400000000001</v>
      </c>
      <c r="R12" s="87">
        <f t="shared" si="1"/>
        <v>34015</v>
      </c>
      <c r="S12" s="87">
        <f t="shared" si="1"/>
        <v>34015</v>
      </c>
      <c r="T12" s="87">
        <f t="shared" si="1"/>
        <v>0</v>
      </c>
      <c r="U12" s="87">
        <f t="shared" si="1"/>
        <v>9001.2330000000002</v>
      </c>
      <c r="V12" s="87">
        <f t="shared" si="1"/>
        <v>9001.2330000000002</v>
      </c>
      <c r="W12" s="87">
        <f t="shared" si="1"/>
        <v>0</v>
      </c>
      <c r="X12" s="87">
        <f>+X19+X22+X26</f>
        <v>60.788371355217222</v>
      </c>
      <c r="Y12" s="87">
        <f>+Y19+Y22+Y26</f>
        <v>0</v>
      </c>
      <c r="Z12" s="52"/>
    </row>
    <row r="13" spans="1:26">
      <c r="A13" s="42" t="s">
        <v>78</v>
      </c>
      <c r="B13" s="42" t="s">
        <v>152</v>
      </c>
      <c r="C13" s="45"/>
      <c r="D13" s="42"/>
      <c r="E13" s="42"/>
      <c r="F13" s="42"/>
      <c r="G13" s="45"/>
      <c r="H13" s="46"/>
      <c r="I13" s="56">
        <f>I14+I15</f>
        <v>6548.4718199999998</v>
      </c>
      <c r="J13" s="56">
        <f t="shared" ref="J13:Q13" si="2">J14+J15</f>
        <v>5953.1561999999994</v>
      </c>
      <c r="K13" s="56">
        <f t="shared" si="2"/>
        <v>6548.4718199999998</v>
      </c>
      <c r="L13" s="56">
        <f>L14+L15</f>
        <v>3906</v>
      </c>
      <c r="M13" s="56">
        <f t="shared" si="2"/>
        <v>6548.4718199999998</v>
      </c>
      <c r="N13" s="56">
        <f t="shared" si="2"/>
        <v>5953.1561999999994</v>
      </c>
      <c r="O13" s="56">
        <f t="shared" si="2"/>
        <v>0</v>
      </c>
      <c r="P13" s="56">
        <f t="shared" si="2"/>
        <v>0</v>
      </c>
      <c r="Q13" s="56">
        <f t="shared" si="2"/>
        <v>2047.1561999999994</v>
      </c>
      <c r="R13" s="57">
        <f>R14+R15</f>
        <v>2047.1561999999994</v>
      </c>
      <c r="S13" s="57">
        <f>S14+S15</f>
        <v>2047.1561999999994</v>
      </c>
      <c r="T13" s="57">
        <f t="shared" ref="T13:W13" si="3">T14+T15</f>
        <v>0</v>
      </c>
      <c r="U13" s="57">
        <f t="shared" si="3"/>
        <v>0</v>
      </c>
      <c r="V13" s="57">
        <f t="shared" si="3"/>
        <v>0</v>
      </c>
      <c r="W13" s="57">
        <f t="shared" si="3"/>
        <v>0</v>
      </c>
      <c r="X13" s="82">
        <f t="shared" ref="X13:X19" si="4">U13/R13*100</f>
        <v>0</v>
      </c>
      <c r="Y13" s="42"/>
      <c r="Z13" s="52"/>
    </row>
    <row r="14" spans="1:26" ht="36">
      <c r="A14" s="35" t="s">
        <v>154</v>
      </c>
      <c r="B14" s="176" t="s">
        <v>79</v>
      </c>
      <c r="C14" s="329" t="s">
        <v>67</v>
      </c>
      <c r="D14" s="50" t="s">
        <v>125</v>
      </c>
      <c r="E14" s="49">
        <v>7985610</v>
      </c>
      <c r="F14" s="54" t="s">
        <v>153</v>
      </c>
      <c r="G14" s="38" t="s">
        <v>82</v>
      </c>
      <c r="H14" s="65" t="s">
        <v>155</v>
      </c>
      <c r="I14" s="66">
        <v>3274.2359099999999</v>
      </c>
      <c r="J14" s="66">
        <v>2976.5780999999997</v>
      </c>
      <c r="K14" s="66">
        <v>3274.2359099999999</v>
      </c>
      <c r="L14" s="66">
        <v>2000</v>
      </c>
      <c r="M14" s="66">
        <v>3274.2359099999999</v>
      </c>
      <c r="N14" s="66">
        <v>2976.5780999999997</v>
      </c>
      <c r="O14" s="37"/>
      <c r="P14" s="37"/>
      <c r="Q14" s="67">
        <f>R14</f>
        <v>976.57809999999972</v>
      </c>
      <c r="R14" s="68">
        <f>N14-L14</f>
        <v>976.57809999999972</v>
      </c>
      <c r="S14" s="68">
        <f>R14</f>
        <v>976.57809999999972</v>
      </c>
      <c r="T14" s="68"/>
      <c r="U14" s="81">
        <f t="shared" ref="U14:U21" si="5">V14+W14</f>
        <v>0</v>
      </c>
      <c r="V14" s="37"/>
      <c r="W14" s="37"/>
      <c r="X14" s="82">
        <f t="shared" si="4"/>
        <v>0</v>
      </c>
      <c r="Y14" s="37"/>
      <c r="Z14" s="69"/>
    </row>
    <row r="15" spans="1:26" ht="36">
      <c r="A15" s="35" t="s">
        <v>156</v>
      </c>
      <c r="B15" s="177" t="s">
        <v>81</v>
      </c>
      <c r="C15" s="302"/>
      <c r="D15" s="53" t="s">
        <v>121</v>
      </c>
      <c r="E15" s="49">
        <v>7987877</v>
      </c>
      <c r="F15" s="54" t="s">
        <v>153</v>
      </c>
      <c r="G15" s="38" t="s">
        <v>82</v>
      </c>
      <c r="H15" s="65" t="s">
        <v>157</v>
      </c>
      <c r="I15" s="66">
        <v>3274.2359099999999</v>
      </c>
      <c r="J15" s="66">
        <v>2976.5780999999997</v>
      </c>
      <c r="K15" s="66">
        <v>3274.2359099999999</v>
      </c>
      <c r="L15" s="66">
        <v>1906</v>
      </c>
      <c r="M15" s="66">
        <v>3274.2359099999999</v>
      </c>
      <c r="N15" s="66">
        <v>2976.5780999999997</v>
      </c>
      <c r="O15" s="42"/>
      <c r="P15" s="42"/>
      <c r="Q15" s="67">
        <f>R15</f>
        <v>1070.5780999999997</v>
      </c>
      <c r="R15" s="68">
        <f>N15-L15</f>
        <v>1070.5780999999997</v>
      </c>
      <c r="S15" s="68">
        <f>R15</f>
        <v>1070.5780999999997</v>
      </c>
      <c r="T15" s="57"/>
      <c r="U15" s="81">
        <f t="shared" si="5"/>
        <v>0</v>
      </c>
      <c r="V15" s="42"/>
      <c r="W15" s="42"/>
      <c r="X15" s="82">
        <f t="shared" si="4"/>
        <v>0</v>
      </c>
      <c r="Y15" s="42"/>
      <c r="Z15" s="52"/>
    </row>
    <row r="16" spans="1:26">
      <c r="A16" s="42" t="s">
        <v>80</v>
      </c>
      <c r="B16" s="178" t="s">
        <v>158</v>
      </c>
      <c r="C16" s="45"/>
      <c r="D16" s="42"/>
      <c r="E16" s="42"/>
      <c r="F16" s="42"/>
      <c r="G16" s="45"/>
      <c r="H16" s="46"/>
      <c r="I16" s="56">
        <f>SUM(I17:I18)</f>
        <v>6548.4718199999998</v>
      </c>
      <c r="J16" s="56">
        <f t="shared" ref="J16:R16" si="6">SUM(J17:J18)</f>
        <v>5953.1561999999994</v>
      </c>
      <c r="K16" s="56">
        <f t="shared" si="6"/>
        <v>0</v>
      </c>
      <c r="L16" s="56">
        <f t="shared" si="6"/>
        <v>0</v>
      </c>
      <c r="M16" s="56">
        <f t="shared" si="6"/>
        <v>6548.4718199999998</v>
      </c>
      <c r="N16" s="56">
        <f t="shared" si="6"/>
        <v>5953.1561999999994</v>
      </c>
      <c r="O16" s="56">
        <f t="shared" si="6"/>
        <v>0</v>
      </c>
      <c r="P16" s="56">
        <f t="shared" si="6"/>
        <v>0</v>
      </c>
      <c r="Q16" s="56">
        <f t="shared" si="6"/>
        <v>2925.2079999999996</v>
      </c>
      <c r="R16" s="56">
        <f t="shared" si="6"/>
        <v>2659.2799999999997</v>
      </c>
      <c r="S16" s="56">
        <f t="shared" ref="S16:W16" si="7">SUM(S17:S18)</f>
        <v>2659.2799999999997</v>
      </c>
      <c r="T16" s="56">
        <f t="shared" si="7"/>
        <v>0</v>
      </c>
      <c r="U16" s="57">
        <f t="shared" si="7"/>
        <v>1384.9189999999999</v>
      </c>
      <c r="V16" s="57">
        <f t="shared" si="7"/>
        <v>1384.9189999999999</v>
      </c>
      <c r="W16" s="56">
        <f t="shared" si="7"/>
        <v>0</v>
      </c>
      <c r="X16" s="82">
        <f t="shared" si="4"/>
        <v>52.078720555939952</v>
      </c>
      <c r="Y16" s="42"/>
      <c r="Z16" s="52"/>
    </row>
    <row r="17" spans="1:26" s="366" customFormat="1" ht="36">
      <c r="A17" s="353" t="s">
        <v>159</v>
      </c>
      <c r="B17" s="354" t="s">
        <v>160</v>
      </c>
      <c r="C17" s="355" t="s">
        <v>67</v>
      </c>
      <c r="D17" s="356" t="s">
        <v>52</v>
      </c>
      <c r="E17" s="356">
        <v>8006209</v>
      </c>
      <c r="F17" s="357" t="s">
        <v>153</v>
      </c>
      <c r="G17" s="358" t="s">
        <v>161</v>
      </c>
      <c r="H17" s="359" t="s">
        <v>162</v>
      </c>
      <c r="I17" s="360">
        <v>3274.2359099999999</v>
      </c>
      <c r="J17" s="360">
        <v>2976.5780999999997</v>
      </c>
      <c r="K17" s="361"/>
      <c r="L17" s="361"/>
      <c r="M17" s="360">
        <v>3274.2359099999999</v>
      </c>
      <c r="N17" s="360">
        <v>2976.5780999999997</v>
      </c>
      <c r="O17" s="361"/>
      <c r="P17" s="361"/>
      <c r="Q17" s="360">
        <f>R17+(R17*10%)</f>
        <v>1563.1</v>
      </c>
      <c r="R17" s="360">
        <v>1421</v>
      </c>
      <c r="S17" s="360">
        <v>1421</v>
      </c>
      <c r="T17" s="362"/>
      <c r="U17" s="363">
        <f t="shared" si="5"/>
        <v>1069.971</v>
      </c>
      <c r="V17" s="362">
        <v>1069.971</v>
      </c>
      <c r="W17" s="361"/>
      <c r="X17" s="364">
        <f t="shared" si="4"/>
        <v>75.297044334975368</v>
      </c>
      <c r="Y17" s="361"/>
      <c r="Z17" s="365"/>
    </row>
    <row r="18" spans="1:26" s="366" customFormat="1" ht="36">
      <c r="A18" s="353" t="s">
        <v>163</v>
      </c>
      <c r="B18" s="354" t="s">
        <v>164</v>
      </c>
      <c r="C18" s="367"/>
      <c r="D18" s="356" t="s">
        <v>52</v>
      </c>
      <c r="E18" s="356">
        <v>8006208</v>
      </c>
      <c r="F18" s="357" t="s">
        <v>153</v>
      </c>
      <c r="G18" s="358" t="s">
        <v>165</v>
      </c>
      <c r="H18" s="359" t="s">
        <v>166</v>
      </c>
      <c r="I18" s="360">
        <v>3274.2359099999999</v>
      </c>
      <c r="J18" s="360">
        <v>2976.5780999999997</v>
      </c>
      <c r="K18" s="361"/>
      <c r="L18" s="361"/>
      <c r="M18" s="360">
        <v>3274.2359099999999</v>
      </c>
      <c r="N18" s="360">
        <v>2976.5780999999997</v>
      </c>
      <c r="O18" s="361"/>
      <c r="P18" s="361"/>
      <c r="Q18" s="360">
        <f>R18+(R18*10%)</f>
        <v>1362.1079999999999</v>
      </c>
      <c r="R18" s="368">
        <f>1421.44-183.5+0.34</f>
        <v>1238.28</v>
      </c>
      <c r="S18" s="368">
        <f>1421.44-183.5+0.34</f>
        <v>1238.28</v>
      </c>
      <c r="T18" s="362"/>
      <c r="U18" s="363">
        <f t="shared" si="5"/>
        <v>314.94799999999998</v>
      </c>
      <c r="V18" s="362">
        <v>314.94799999999998</v>
      </c>
      <c r="W18" s="361"/>
      <c r="X18" s="364">
        <f t="shared" si="4"/>
        <v>25.434312110346607</v>
      </c>
      <c r="Y18" s="361"/>
      <c r="Z18" s="365"/>
    </row>
    <row r="19" spans="1:26">
      <c r="A19" s="61">
        <v>2</v>
      </c>
      <c r="B19" s="55" t="s">
        <v>167</v>
      </c>
      <c r="C19" s="45"/>
      <c r="D19" s="42"/>
      <c r="E19" s="41"/>
      <c r="F19" s="41"/>
      <c r="G19" s="58"/>
      <c r="H19" s="59"/>
      <c r="I19" s="60">
        <f>SUM(I20:I21)</f>
        <v>59310.9</v>
      </c>
      <c r="J19" s="60">
        <f t="shared" ref="J19:Q19" si="8">SUM(J20:J21)</f>
        <v>53919</v>
      </c>
      <c r="K19" s="60">
        <f t="shared" si="8"/>
        <v>59310.9</v>
      </c>
      <c r="L19" s="60">
        <f t="shared" si="8"/>
        <v>10167</v>
      </c>
      <c r="M19" s="60">
        <f t="shared" si="8"/>
        <v>59310.9</v>
      </c>
      <c r="N19" s="60">
        <f t="shared" si="8"/>
        <v>53919</v>
      </c>
      <c r="O19" s="60">
        <f t="shared" si="8"/>
        <v>0</v>
      </c>
      <c r="P19" s="60">
        <f t="shared" si="8"/>
        <v>0</v>
      </c>
      <c r="Q19" s="60">
        <f t="shared" si="8"/>
        <v>16848</v>
      </c>
      <c r="R19" s="60">
        <f>SUM(R20:R21)</f>
        <v>16848</v>
      </c>
      <c r="S19" s="60">
        <f>SUM(S20:S21)</f>
        <v>16848</v>
      </c>
      <c r="T19" s="75">
        <f t="shared" ref="T19:W19" si="9">SUM(T20:T21)</f>
        <v>0</v>
      </c>
      <c r="U19" s="93">
        <f>SUM(U20:U21)</f>
        <v>8394.5220000000008</v>
      </c>
      <c r="V19" s="93">
        <f t="shared" si="9"/>
        <v>8394.5220000000008</v>
      </c>
      <c r="W19" s="60">
        <f t="shared" si="9"/>
        <v>0</v>
      </c>
      <c r="X19" s="82">
        <f t="shared" si="4"/>
        <v>49.825035612535615</v>
      </c>
      <c r="Y19" s="41"/>
      <c r="Z19" s="28"/>
    </row>
    <row r="20" spans="1:26" ht="48">
      <c r="A20" s="63" t="s">
        <v>83</v>
      </c>
      <c r="B20" s="71" t="s">
        <v>85</v>
      </c>
      <c r="C20" s="329" t="s">
        <v>67</v>
      </c>
      <c r="D20" s="72" t="s">
        <v>63</v>
      </c>
      <c r="E20" s="73">
        <v>7998160</v>
      </c>
      <c r="F20" s="54" t="s">
        <v>168</v>
      </c>
      <c r="G20" s="36" t="s">
        <v>86</v>
      </c>
      <c r="H20" s="65" t="s">
        <v>169</v>
      </c>
      <c r="I20" s="70">
        <v>37310.9</v>
      </c>
      <c r="J20" s="70">
        <v>33919</v>
      </c>
      <c r="K20" s="70">
        <v>37310.9</v>
      </c>
      <c r="L20" s="70">
        <v>6567</v>
      </c>
      <c r="M20" s="70">
        <v>37310.9</v>
      </c>
      <c r="N20" s="70">
        <v>33919</v>
      </c>
      <c r="O20" s="40"/>
      <c r="P20" s="40"/>
      <c r="Q20" s="74">
        <f>R20</f>
        <v>10348</v>
      </c>
      <c r="R20" s="70">
        <v>10348</v>
      </c>
      <c r="S20" s="70">
        <v>10348</v>
      </c>
      <c r="T20" s="81"/>
      <c r="U20" s="81">
        <f t="shared" si="5"/>
        <v>7813.4059999999999</v>
      </c>
      <c r="V20" s="94">
        <f>7000+165.585+647.821</f>
        <v>7813.4059999999999</v>
      </c>
      <c r="W20" s="80">
        <v>0</v>
      </c>
      <c r="X20" s="82">
        <f>U20/R20*100</f>
        <v>75.506436026285272</v>
      </c>
      <c r="Y20" s="80"/>
      <c r="Z20" s="25"/>
    </row>
    <row r="21" spans="1:26" ht="36">
      <c r="A21" s="63" t="s">
        <v>84</v>
      </c>
      <c r="B21" s="47" t="s">
        <v>88</v>
      </c>
      <c r="C21" s="302"/>
      <c r="D21" s="50" t="s">
        <v>74</v>
      </c>
      <c r="E21" s="49">
        <v>7989024</v>
      </c>
      <c r="F21" s="54" t="s">
        <v>168</v>
      </c>
      <c r="G21" s="36" t="s">
        <v>86</v>
      </c>
      <c r="H21" s="39" t="s">
        <v>170</v>
      </c>
      <c r="I21" s="70">
        <v>22000</v>
      </c>
      <c r="J21" s="70">
        <v>20000</v>
      </c>
      <c r="K21" s="70">
        <v>22000</v>
      </c>
      <c r="L21" s="70">
        <v>3600</v>
      </c>
      <c r="M21" s="70">
        <v>22000</v>
      </c>
      <c r="N21" s="70">
        <v>20000</v>
      </c>
      <c r="O21" s="40"/>
      <c r="P21" s="40"/>
      <c r="Q21" s="74">
        <f>R21</f>
        <v>6500</v>
      </c>
      <c r="R21" s="70">
        <v>6500</v>
      </c>
      <c r="S21" s="70">
        <v>6500</v>
      </c>
      <c r="T21" s="81"/>
      <c r="U21" s="81">
        <f t="shared" si="5"/>
        <v>581.11599999999999</v>
      </c>
      <c r="V21" s="81">
        <v>581.11599999999999</v>
      </c>
      <c r="W21" s="80"/>
      <c r="X21" s="82">
        <f>U21/R21*100</f>
        <v>8.9402461538461537</v>
      </c>
      <c r="Y21" s="80"/>
      <c r="Z21" s="25"/>
    </row>
    <row r="22" spans="1:26" s="90" customFormat="1">
      <c r="A22" s="61">
        <v>3</v>
      </c>
      <c r="B22" s="64" t="s">
        <v>33</v>
      </c>
      <c r="C22" s="45"/>
      <c r="D22" s="42"/>
      <c r="E22" s="41"/>
      <c r="F22" s="41"/>
      <c r="G22" s="58"/>
      <c r="H22" s="59"/>
      <c r="I22" s="60">
        <f>+I23</f>
        <v>24223.257368507999</v>
      </c>
      <c r="J22" s="60">
        <f t="shared" ref="J22:X22" si="10">+J23</f>
        <v>22021.14306228</v>
      </c>
      <c r="K22" s="60">
        <f t="shared" si="10"/>
        <v>0</v>
      </c>
      <c r="L22" s="60">
        <f t="shared" si="10"/>
        <v>0</v>
      </c>
      <c r="M22" s="60">
        <f t="shared" si="10"/>
        <v>24223.257368507999</v>
      </c>
      <c r="N22" s="60">
        <f t="shared" si="10"/>
        <v>22021.14306228</v>
      </c>
      <c r="O22" s="60">
        <f t="shared" si="10"/>
        <v>0</v>
      </c>
      <c r="P22" s="60">
        <f t="shared" si="10"/>
        <v>0</v>
      </c>
      <c r="Q22" s="60">
        <f t="shared" si="10"/>
        <v>6087.4000000000005</v>
      </c>
      <c r="R22" s="60">
        <f t="shared" si="10"/>
        <v>5534</v>
      </c>
      <c r="S22" s="60">
        <f t="shared" si="10"/>
        <v>5534</v>
      </c>
      <c r="T22" s="60">
        <f t="shared" si="10"/>
        <v>0</v>
      </c>
      <c r="U22" s="60">
        <f t="shared" si="10"/>
        <v>606.71100000000001</v>
      </c>
      <c r="V22" s="60">
        <f t="shared" si="10"/>
        <v>606.71100000000001</v>
      </c>
      <c r="W22" s="60">
        <f t="shared" si="10"/>
        <v>0</v>
      </c>
      <c r="X22" s="352">
        <f t="shared" ref="X22:X24" si="11">U22/R22*100</f>
        <v>10.963335742681606</v>
      </c>
      <c r="Y22" s="41"/>
      <c r="Z22" s="28"/>
    </row>
    <row r="23" spans="1:26">
      <c r="A23" s="76" t="s">
        <v>90</v>
      </c>
      <c r="B23" s="41" t="s">
        <v>158</v>
      </c>
      <c r="C23" s="45"/>
      <c r="D23" s="42"/>
      <c r="E23" s="41"/>
      <c r="F23" s="41"/>
      <c r="G23" s="58"/>
      <c r="H23" s="59"/>
      <c r="I23" s="60">
        <f>SUM(I24:I25)</f>
        <v>24223.257368507999</v>
      </c>
      <c r="J23" s="60">
        <f t="shared" ref="J23:R23" si="12">SUM(J24:J25)</f>
        <v>22021.14306228</v>
      </c>
      <c r="K23" s="60">
        <f t="shared" si="12"/>
        <v>0</v>
      </c>
      <c r="L23" s="60">
        <f t="shared" si="12"/>
        <v>0</v>
      </c>
      <c r="M23" s="60">
        <f t="shared" si="12"/>
        <v>24223.257368507999</v>
      </c>
      <c r="N23" s="60">
        <f t="shared" si="12"/>
        <v>22021.14306228</v>
      </c>
      <c r="O23" s="60">
        <f t="shared" si="12"/>
        <v>0</v>
      </c>
      <c r="P23" s="60">
        <f t="shared" si="12"/>
        <v>0</v>
      </c>
      <c r="Q23" s="60">
        <f t="shared" si="12"/>
        <v>6087.4000000000005</v>
      </c>
      <c r="R23" s="60">
        <f t="shared" si="12"/>
        <v>5534</v>
      </c>
      <c r="S23" s="60">
        <f t="shared" ref="S23:W23" si="13">SUM(S24:S25)</f>
        <v>5534</v>
      </c>
      <c r="T23" s="60">
        <f t="shared" si="13"/>
        <v>0</v>
      </c>
      <c r="U23" s="81">
        <f t="shared" ref="U23:U33" si="14">V23+W23</f>
        <v>606.71100000000001</v>
      </c>
      <c r="V23" s="74">
        <f t="shared" si="13"/>
        <v>606.71100000000001</v>
      </c>
      <c r="W23" s="60">
        <f t="shared" si="13"/>
        <v>0</v>
      </c>
      <c r="X23" s="82">
        <f t="shared" si="11"/>
        <v>10.963335742681606</v>
      </c>
      <c r="Y23" s="41"/>
      <c r="Z23" s="28"/>
    </row>
    <row r="24" spans="1:26" ht="30">
      <c r="A24" s="77" t="s">
        <v>171</v>
      </c>
      <c r="B24" s="47" t="s">
        <v>172</v>
      </c>
      <c r="C24" s="48" t="s">
        <v>67</v>
      </c>
      <c r="D24" s="50" t="s">
        <v>51</v>
      </c>
      <c r="E24" s="50"/>
      <c r="F24" s="50"/>
      <c r="G24" s="43" t="s">
        <v>165</v>
      </c>
      <c r="H24" s="44"/>
      <c r="I24" s="70">
        <v>4516.2005263319998</v>
      </c>
      <c r="J24" s="70">
        <v>4105.6368421199995</v>
      </c>
      <c r="K24" s="40"/>
      <c r="L24" s="40"/>
      <c r="M24" s="70">
        <v>4516.2005263319998</v>
      </c>
      <c r="N24" s="70">
        <v>4105.6368421199995</v>
      </c>
      <c r="O24" s="40"/>
      <c r="P24" s="40"/>
      <c r="Q24" s="70">
        <f>R24+(R24*10%)</f>
        <v>666.6</v>
      </c>
      <c r="R24" s="70">
        <v>606</v>
      </c>
      <c r="S24" s="70">
        <v>606</v>
      </c>
      <c r="T24" s="81"/>
      <c r="U24" s="81">
        <f t="shared" si="14"/>
        <v>0</v>
      </c>
      <c r="V24" s="40"/>
      <c r="W24" s="40"/>
      <c r="X24" s="82">
        <f t="shared" si="11"/>
        <v>0</v>
      </c>
      <c r="Y24" s="40"/>
      <c r="Z24" s="25"/>
    </row>
    <row r="25" spans="1:26" ht="36">
      <c r="A25" s="77" t="s">
        <v>173</v>
      </c>
      <c r="B25" s="47" t="s">
        <v>174</v>
      </c>
      <c r="C25" s="48" t="s">
        <v>67</v>
      </c>
      <c r="D25" s="50" t="s">
        <v>175</v>
      </c>
      <c r="E25" s="49">
        <v>7994274</v>
      </c>
      <c r="F25" s="49" t="s">
        <v>151</v>
      </c>
      <c r="G25" s="38" t="s">
        <v>165</v>
      </c>
      <c r="H25" s="39" t="s">
        <v>176</v>
      </c>
      <c r="I25" s="70">
        <v>19707.056842176</v>
      </c>
      <c r="J25" s="70">
        <v>17915.506220160001</v>
      </c>
      <c r="K25" s="40"/>
      <c r="L25" s="40"/>
      <c r="M25" s="70">
        <v>19707.056842176</v>
      </c>
      <c r="N25" s="70">
        <v>17915.506220160001</v>
      </c>
      <c r="O25" s="40"/>
      <c r="P25" s="40"/>
      <c r="Q25" s="70">
        <f>R25+(R25*10%)</f>
        <v>5420.8</v>
      </c>
      <c r="R25" s="70">
        <v>4928</v>
      </c>
      <c r="S25" s="70">
        <v>4928</v>
      </c>
      <c r="T25" s="81"/>
      <c r="U25" s="81">
        <f t="shared" si="14"/>
        <v>606.71100000000001</v>
      </c>
      <c r="V25" s="95">
        <f>112.616+494.095</f>
        <v>606.71100000000001</v>
      </c>
      <c r="W25" s="40"/>
      <c r="X25" s="82">
        <f>U25/R25*100</f>
        <v>12.311505681818181</v>
      </c>
      <c r="Y25" s="40"/>
      <c r="Z25" s="25"/>
    </row>
    <row r="26" spans="1:26">
      <c r="A26" s="61">
        <v>4</v>
      </c>
      <c r="B26" s="64" t="s">
        <v>177</v>
      </c>
      <c r="C26" s="43"/>
      <c r="D26" s="37"/>
      <c r="E26" s="40"/>
      <c r="F26" s="40"/>
      <c r="G26" s="62"/>
      <c r="H26" s="44"/>
      <c r="I26" s="60">
        <f>SUM(I27:I33)</f>
        <v>35038</v>
      </c>
      <c r="J26" s="60">
        <f t="shared" ref="J26:R26" si="15">SUM(J27:J33)</f>
        <v>31859</v>
      </c>
      <c r="K26" s="60">
        <f t="shared" si="15"/>
        <v>35038</v>
      </c>
      <c r="L26" s="60">
        <f t="shared" si="15"/>
        <v>8678</v>
      </c>
      <c r="M26" s="60">
        <f t="shared" si="15"/>
        <v>35038</v>
      </c>
      <c r="N26" s="60">
        <f t="shared" si="15"/>
        <v>31859</v>
      </c>
      <c r="O26" s="60">
        <f t="shared" si="15"/>
        <v>0</v>
      </c>
      <c r="P26" s="60">
        <f t="shared" si="15"/>
        <v>0</v>
      </c>
      <c r="Q26" s="60">
        <f t="shared" si="15"/>
        <v>11633</v>
      </c>
      <c r="R26" s="60">
        <f t="shared" si="15"/>
        <v>11633</v>
      </c>
      <c r="S26" s="60">
        <f t="shared" ref="S26" si="16">SUM(S27:S33)</f>
        <v>11633</v>
      </c>
      <c r="T26" s="81"/>
      <c r="U26" s="81">
        <f t="shared" si="14"/>
        <v>0</v>
      </c>
      <c r="V26" s="40"/>
      <c r="W26" s="40"/>
      <c r="X26" s="81"/>
      <c r="Y26" s="40"/>
      <c r="Z26" s="25"/>
    </row>
    <row r="27" spans="1:26" ht="34.5" customHeight="1">
      <c r="A27" s="63" t="s">
        <v>91</v>
      </c>
      <c r="B27" s="71" t="s">
        <v>178</v>
      </c>
      <c r="C27" s="329" t="s">
        <v>67</v>
      </c>
      <c r="D27" s="50" t="s">
        <v>22</v>
      </c>
      <c r="E27" s="50">
        <v>7970456</v>
      </c>
      <c r="F27" s="50" t="s">
        <v>179</v>
      </c>
      <c r="G27" s="48" t="s">
        <v>86</v>
      </c>
      <c r="H27" s="51" t="s">
        <v>180</v>
      </c>
      <c r="I27" s="70">
        <f>1229+765+765+2556</f>
        <v>5315</v>
      </c>
      <c r="J27" s="70">
        <f>1117+696+696+2324</f>
        <v>4833</v>
      </c>
      <c r="K27" s="70">
        <f>1229+765+765+2556</f>
        <v>5315</v>
      </c>
      <c r="L27" s="70">
        <f>670+696</f>
        <v>1366</v>
      </c>
      <c r="M27" s="70">
        <f>1229+765+765+2556</f>
        <v>5315</v>
      </c>
      <c r="N27" s="70">
        <f>1117+696+696+2324</f>
        <v>4833</v>
      </c>
      <c r="O27" s="40"/>
      <c r="P27" s="40"/>
      <c r="Q27" s="74">
        <f>R27</f>
        <v>1437</v>
      </c>
      <c r="R27" s="70">
        <v>1437</v>
      </c>
      <c r="S27" s="70">
        <v>1437</v>
      </c>
      <c r="T27" s="81"/>
      <c r="U27" s="81">
        <f t="shared" si="14"/>
        <v>0</v>
      </c>
      <c r="V27" s="40"/>
      <c r="W27" s="40"/>
      <c r="X27" s="82">
        <f>U27/R27*100</f>
        <v>0</v>
      </c>
      <c r="Y27" s="40"/>
      <c r="Z27" s="25"/>
    </row>
    <row r="28" spans="1:26" ht="34.5" customHeight="1">
      <c r="A28" s="63" t="s">
        <v>94</v>
      </c>
      <c r="B28" s="71" t="s">
        <v>181</v>
      </c>
      <c r="C28" s="304"/>
      <c r="D28" s="50" t="s">
        <v>21</v>
      </c>
      <c r="E28" s="50">
        <v>7974807</v>
      </c>
      <c r="F28" s="50" t="s">
        <v>179</v>
      </c>
      <c r="G28" s="48" t="s">
        <v>86</v>
      </c>
      <c r="H28" s="51" t="s">
        <v>182</v>
      </c>
      <c r="I28" s="70">
        <f>983+765+1917</f>
        <v>3665</v>
      </c>
      <c r="J28" s="70">
        <f>894+696+1743</f>
        <v>3333</v>
      </c>
      <c r="K28" s="70">
        <f>983+765+1917</f>
        <v>3665</v>
      </c>
      <c r="L28" s="70">
        <f>696</f>
        <v>696</v>
      </c>
      <c r="M28" s="70">
        <f>983+765+1917</f>
        <v>3665</v>
      </c>
      <c r="N28" s="70">
        <f>894+696+1743</f>
        <v>3333</v>
      </c>
      <c r="O28" s="40"/>
      <c r="P28" s="40"/>
      <c r="Q28" s="74">
        <f t="shared" ref="Q28:Q33" si="17">R28</f>
        <v>1637</v>
      </c>
      <c r="R28" s="70">
        <v>1637</v>
      </c>
      <c r="S28" s="70">
        <v>1637</v>
      </c>
      <c r="T28" s="81"/>
      <c r="U28" s="81">
        <f t="shared" si="14"/>
        <v>0</v>
      </c>
      <c r="V28" s="40"/>
      <c r="W28" s="40"/>
      <c r="X28" s="82">
        <f t="shared" ref="X28:X52" si="18">U28/R28*100</f>
        <v>0</v>
      </c>
      <c r="Y28" s="40"/>
      <c r="Z28" s="25"/>
    </row>
    <row r="29" spans="1:26" ht="34.5" customHeight="1">
      <c r="A29" s="63" t="s">
        <v>95</v>
      </c>
      <c r="B29" s="71" t="s">
        <v>183</v>
      </c>
      <c r="C29" s="304"/>
      <c r="D29" s="50" t="s">
        <v>19</v>
      </c>
      <c r="E29" s="50">
        <v>7971598</v>
      </c>
      <c r="F29" s="50" t="s">
        <v>179</v>
      </c>
      <c r="G29" s="48" t="s">
        <v>86</v>
      </c>
      <c r="H29" s="51" t="s">
        <v>184</v>
      </c>
      <c r="I29" s="70">
        <f>4179+1530+765+2556</f>
        <v>9030</v>
      </c>
      <c r="J29" s="70">
        <f>3799+1391+696+2324</f>
        <v>8210</v>
      </c>
      <c r="K29" s="70">
        <f>4179+1530+765+2556</f>
        <v>9030</v>
      </c>
      <c r="L29" s="70">
        <v>1391</v>
      </c>
      <c r="M29" s="70">
        <f>4179+1530+765+2556</f>
        <v>9030</v>
      </c>
      <c r="N29" s="70">
        <f>3799+1391+696+2324</f>
        <v>8210</v>
      </c>
      <c r="O29" s="40"/>
      <c r="P29" s="40"/>
      <c r="Q29" s="74">
        <f t="shared" si="17"/>
        <v>3105</v>
      </c>
      <c r="R29" s="70">
        <v>3105</v>
      </c>
      <c r="S29" s="70">
        <v>3105</v>
      </c>
      <c r="T29" s="81"/>
      <c r="U29" s="81">
        <f t="shared" si="14"/>
        <v>0</v>
      </c>
      <c r="V29" s="40"/>
      <c r="W29" s="40"/>
      <c r="X29" s="82">
        <f t="shared" si="18"/>
        <v>0</v>
      </c>
      <c r="Y29" s="40"/>
      <c r="Z29" s="25"/>
    </row>
    <row r="30" spans="1:26" ht="34.5" customHeight="1">
      <c r="A30" s="63" t="s">
        <v>96</v>
      </c>
      <c r="B30" s="71" t="s">
        <v>185</v>
      </c>
      <c r="C30" s="304"/>
      <c r="D30" s="50" t="s">
        <v>23</v>
      </c>
      <c r="E30" s="50">
        <v>7970457</v>
      </c>
      <c r="F30" s="50" t="s">
        <v>179</v>
      </c>
      <c r="G30" s="48" t="s">
        <v>86</v>
      </c>
      <c r="H30" s="51" t="s">
        <v>186</v>
      </c>
      <c r="I30" s="70">
        <f>246+765+765+1917</f>
        <v>3693</v>
      </c>
      <c r="J30" s="70">
        <f>223+696+696+1743</f>
        <v>3358</v>
      </c>
      <c r="K30" s="70">
        <f>246+765+765+1917</f>
        <v>3693</v>
      </c>
      <c r="L30" s="70">
        <f>223+696</f>
        <v>919</v>
      </c>
      <c r="M30" s="70">
        <f>246+765+765+1917</f>
        <v>3693</v>
      </c>
      <c r="N30" s="70">
        <f>223+696+696+1743</f>
        <v>3358</v>
      </c>
      <c r="O30" s="40"/>
      <c r="P30" s="40"/>
      <c r="Q30" s="74">
        <f t="shared" si="17"/>
        <v>1135</v>
      </c>
      <c r="R30" s="70">
        <v>1135</v>
      </c>
      <c r="S30" s="70">
        <v>1135</v>
      </c>
      <c r="T30" s="81"/>
      <c r="U30" s="81">
        <f t="shared" si="14"/>
        <v>0</v>
      </c>
      <c r="V30" s="40"/>
      <c r="W30" s="40"/>
      <c r="X30" s="82">
        <f t="shared" si="18"/>
        <v>0</v>
      </c>
      <c r="Y30" s="40"/>
      <c r="Z30" s="25"/>
    </row>
    <row r="31" spans="1:26" ht="34.5" customHeight="1">
      <c r="A31" s="63" t="s">
        <v>187</v>
      </c>
      <c r="B31" s="71" t="s">
        <v>188</v>
      </c>
      <c r="C31" s="304"/>
      <c r="D31" s="50" t="s">
        <v>189</v>
      </c>
      <c r="E31" s="50">
        <v>7974808</v>
      </c>
      <c r="F31" s="50" t="s">
        <v>179</v>
      </c>
      <c r="G31" s="48" t="s">
        <v>86</v>
      </c>
      <c r="H31" s="51" t="s">
        <v>190</v>
      </c>
      <c r="I31" s="70">
        <f>492+765+765+1917</f>
        <v>3939</v>
      </c>
      <c r="J31" s="70">
        <f>447+696+696+1743</f>
        <v>3582</v>
      </c>
      <c r="K31" s="70">
        <f>492+765+765+1917</f>
        <v>3939</v>
      </c>
      <c r="L31" s="70">
        <f>696</f>
        <v>696</v>
      </c>
      <c r="M31" s="70">
        <f>492+765+765+1917</f>
        <v>3939</v>
      </c>
      <c r="N31" s="70">
        <f>447+696+696+1743</f>
        <v>3582</v>
      </c>
      <c r="O31" s="40"/>
      <c r="P31" s="40"/>
      <c r="Q31" s="74">
        <f t="shared" si="17"/>
        <v>1386</v>
      </c>
      <c r="R31" s="70">
        <v>1386</v>
      </c>
      <c r="S31" s="70">
        <v>1386</v>
      </c>
      <c r="T31" s="81"/>
      <c r="U31" s="81">
        <f t="shared" si="14"/>
        <v>0</v>
      </c>
      <c r="V31" s="40"/>
      <c r="W31" s="40"/>
      <c r="X31" s="82">
        <f t="shared" si="18"/>
        <v>0</v>
      </c>
      <c r="Y31" s="40"/>
      <c r="Z31" s="25"/>
    </row>
    <row r="32" spans="1:26" ht="34.5" customHeight="1">
      <c r="A32" s="63" t="s">
        <v>191</v>
      </c>
      <c r="B32" s="71" t="s">
        <v>192</v>
      </c>
      <c r="C32" s="304"/>
      <c r="D32" s="50" t="s">
        <v>93</v>
      </c>
      <c r="E32" s="50">
        <v>7974806</v>
      </c>
      <c r="F32" s="50" t="s">
        <v>179</v>
      </c>
      <c r="G32" s="48" t="s">
        <v>86</v>
      </c>
      <c r="H32" s="51" t="s">
        <v>193</v>
      </c>
      <c r="I32" s="70">
        <f>492+765+765+1917</f>
        <v>3939</v>
      </c>
      <c r="J32" s="70">
        <f>447+696+696+1743</f>
        <v>3582</v>
      </c>
      <c r="K32" s="70">
        <f>492+765+765+1917</f>
        <v>3939</v>
      </c>
      <c r="L32" s="70">
        <f>447+696</f>
        <v>1143</v>
      </c>
      <c r="M32" s="70">
        <f>492+765+765+1917</f>
        <v>3939</v>
      </c>
      <c r="N32" s="70">
        <f>447+696+696+1743</f>
        <v>3582</v>
      </c>
      <c r="O32" s="40"/>
      <c r="P32" s="40"/>
      <c r="Q32" s="74">
        <f t="shared" si="17"/>
        <v>1439</v>
      </c>
      <c r="R32" s="70">
        <v>1439</v>
      </c>
      <c r="S32" s="70">
        <v>1439</v>
      </c>
      <c r="T32" s="81"/>
      <c r="U32" s="81">
        <f t="shared" si="14"/>
        <v>0</v>
      </c>
      <c r="V32" s="40"/>
      <c r="W32" s="40"/>
      <c r="X32" s="82">
        <f t="shared" si="18"/>
        <v>0</v>
      </c>
      <c r="Y32" s="40"/>
      <c r="Z32" s="25"/>
    </row>
    <row r="33" spans="1:26" ht="34.5" customHeight="1">
      <c r="A33" s="63" t="s">
        <v>194</v>
      </c>
      <c r="B33" s="71" t="s">
        <v>195</v>
      </c>
      <c r="C33" s="302"/>
      <c r="D33" s="50" t="s">
        <v>19</v>
      </c>
      <c r="E33" s="50">
        <v>7982837</v>
      </c>
      <c r="F33" s="50" t="s">
        <v>196</v>
      </c>
      <c r="G33" s="48" t="s">
        <v>86</v>
      </c>
      <c r="H33" s="51" t="s">
        <v>197</v>
      </c>
      <c r="I33" s="70">
        <f>983+4474</f>
        <v>5457</v>
      </c>
      <c r="J33" s="70">
        <f>894+4067</f>
        <v>4961</v>
      </c>
      <c r="K33" s="70">
        <f>983+4474</f>
        <v>5457</v>
      </c>
      <c r="L33" s="70">
        <v>2467</v>
      </c>
      <c r="M33" s="70">
        <f>983+4474</f>
        <v>5457</v>
      </c>
      <c r="N33" s="70">
        <f>894+4067</f>
        <v>4961</v>
      </c>
      <c r="O33" s="40"/>
      <c r="P33" s="40"/>
      <c r="Q33" s="74">
        <f t="shared" si="17"/>
        <v>1494</v>
      </c>
      <c r="R33" s="70">
        <v>1494</v>
      </c>
      <c r="S33" s="70">
        <v>1494</v>
      </c>
      <c r="T33" s="81"/>
      <c r="U33" s="81">
        <f t="shared" si="14"/>
        <v>0</v>
      </c>
      <c r="V33" s="40"/>
      <c r="W33" s="40"/>
      <c r="X33" s="82">
        <f t="shared" si="18"/>
        <v>0</v>
      </c>
      <c r="Y33" s="40"/>
      <c r="Z33" s="25"/>
    </row>
    <row r="34" spans="1:26" ht="35.25" customHeight="1">
      <c r="A34" s="274" t="s">
        <v>130</v>
      </c>
      <c r="B34" s="105" t="s">
        <v>456</v>
      </c>
      <c r="C34" s="274"/>
      <c r="D34" s="274"/>
      <c r="E34" s="274"/>
      <c r="F34" s="274"/>
      <c r="G34" s="274"/>
      <c r="H34" s="274"/>
      <c r="I34" s="274"/>
      <c r="J34" s="274"/>
      <c r="K34" s="274"/>
      <c r="L34" s="274"/>
      <c r="M34" s="274"/>
      <c r="N34" s="274"/>
      <c r="O34" s="274"/>
      <c r="P34" s="274"/>
      <c r="Q34" s="274"/>
      <c r="R34" s="275">
        <f>R35</f>
        <v>10533.428</v>
      </c>
      <c r="S34" s="275">
        <f t="shared" ref="S34:Y34" si="19">S35</f>
        <v>0</v>
      </c>
      <c r="T34" s="275">
        <f t="shared" si="19"/>
        <v>10533.428</v>
      </c>
      <c r="U34" s="275">
        <f t="shared" si="19"/>
        <v>73.805999999999997</v>
      </c>
      <c r="V34" s="275">
        <f t="shared" si="19"/>
        <v>0</v>
      </c>
      <c r="W34" s="275">
        <f t="shared" si="19"/>
        <v>73.805999999999997</v>
      </c>
      <c r="X34" s="275">
        <f t="shared" si="19"/>
        <v>2.7745247707313432</v>
      </c>
      <c r="Y34" s="275">
        <f t="shared" si="19"/>
        <v>0</v>
      </c>
      <c r="Z34" s="2"/>
    </row>
    <row r="35" spans="1:26" s="90" customFormat="1" ht="42.75" customHeight="1">
      <c r="A35" s="168" t="s">
        <v>3</v>
      </c>
      <c r="B35" s="168" t="s">
        <v>72</v>
      </c>
      <c r="C35" s="168"/>
      <c r="D35" s="168"/>
      <c r="E35" s="169"/>
      <c r="F35" s="170"/>
      <c r="G35" s="170"/>
      <c r="H35" s="170"/>
      <c r="I35" s="171"/>
      <c r="J35" s="171"/>
      <c r="K35" s="171"/>
      <c r="L35" s="171"/>
      <c r="M35" s="171"/>
      <c r="N35" s="170"/>
      <c r="O35" s="170"/>
      <c r="P35" s="170"/>
      <c r="Q35" s="170"/>
      <c r="R35" s="172">
        <f>R36+R39+R42</f>
        <v>10533.428</v>
      </c>
      <c r="S35" s="172">
        <f t="shared" ref="S35:Y35" si="20">S36+S39+S42</f>
        <v>0</v>
      </c>
      <c r="T35" s="172">
        <f t="shared" si="20"/>
        <v>10533.428</v>
      </c>
      <c r="U35" s="172">
        <f t="shared" si="20"/>
        <v>73.805999999999997</v>
      </c>
      <c r="V35" s="172">
        <f t="shared" si="20"/>
        <v>0</v>
      </c>
      <c r="W35" s="172">
        <f t="shared" si="20"/>
        <v>73.805999999999997</v>
      </c>
      <c r="X35" s="172">
        <f t="shared" si="20"/>
        <v>2.7745247707313432</v>
      </c>
      <c r="Y35" s="172">
        <f t="shared" si="20"/>
        <v>0</v>
      </c>
    </row>
    <row r="36" spans="1:26" s="90" customFormat="1" ht="22.5" customHeight="1">
      <c r="A36" s="112">
        <v>1</v>
      </c>
      <c r="B36" s="107" t="s">
        <v>37</v>
      </c>
      <c r="C36" s="112"/>
      <c r="D36" s="112"/>
      <c r="E36" s="107"/>
      <c r="F36" s="108"/>
      <c r="G36" s="108"/>
      <c r="H36" s="108"/>
      <c r="I36" s="158"/>
      <c r="J36" s="158"/>
      <c r="K36" s="158"/>
      <c r="L36" s="158"/>
      <c r="M36" s="158"/>
      <c r="N36" s="159"/>
      <c r="O36" s="159"/>
      <c r="P36" s="159"/>
      <c r="Q36" s="159"/>
      <c r="R36" s="167">
        <f>T36</f>
        <v>873.50299999999993</v>
      </c>
      <c r="S36" s="160"/>
      <c r="T36" s="158">
        <f>SUM(T37:T38)</f>
        <v>873.50299999999993</v>
      </c>
      <c r="U36" s="158">
        <f t="shared" ref="U36:W36" si="21">SUM(U37:U38)</f>
        <v>7.22</v>
      </c>
      <c r="V36" s="158">
        <f t="shared" si="21"/>
        <v>0</v>
      </c>
      <c r="W36" s="158">
        <f t="shared" si="21"/>
        <v>7.22</v>
      </c>
      <c r="X36" s="82">
        <f t="shared" si="18"/>
        <v>0.82655697805273709</v>
      </c>
      <c r="Y36" s="159"/>
    </row>
    <row r="37" spans="1:26" ht="30">
      <c r="A37" s="161" t="s">
        <v>73</v>
      </c>
      <c r="B37" s="115" t="s">
        <v>79</v>
      </c>
      <c r="C37" s="303" t="s">
        <v>67</v>
      </c>
      <c r="D37" s="117" t="s">
        <v>44</v>
      </c>
      <c r="E37" s="118" t="s">
        <v>212</v>
      </c>
      <c r="F37" s="108"/>
      <c r="G37" s="108"/>
      <c r="H37" s="108"/>
      <c r="I37" s="154"/>
      <c r="J37" s="154"/>
      <c r="K37" s="154"/>
      <c r="L37" s="154"/>
      <c r="M37" s="154"/>
      <c r="N37" s="153"/>
      <c r="O37" s="153"/>
      <c r="P37" s="153"/>
      <c r="Q37" s="153"/>
      <c r="R37" s="166">
        <f t="shared" ref="R37:R52" si="22">T37</f>
        <v>589.26199999999994</v>
      </c>
      <c r="S37" s="155"/>
      <c r="T37" s="154">
        <f>Sheet1!H8</f>
        <v>589.26199999999994</v>
      </c>
      <c r="U37" s="154">
        <f>V37+W37</f>
        <v>0</v>
      </c>
      <c r="V37" s="153"/>
      <c r="W37" s="153"/>
      <c r="X37" s="82">
        <f t="shared" si="18"/>
        <v>0</v>
      </c>
      <c r="Y37" s="153"/>
    </row>
    <row r="38" spans="1:26" ht="33" customHeight="1">
      <c r="A38" s="161" t="s">
        <v>75</v>
      </c>
      <c r="B38" s="119" t="s">
        <v>81</v>
      </c>
      <c r="C38" s="303"/>
      <c r="D38" s="117" t="s">
        <v>46</v>
      </c>
      <c r="E38" s="118" t="s">
        <v>213</v>
      </c>
      <c r="F38" s="116"/>
      <c r="G38" s="116"/>
      <c r="H38" s="116"/>
      <c r="I38" s="154"/>
      <c r="J38" s="154"/>
      <c r="K38" s="154"/>
      <c r="L38" s="154"/>
      <c r="M38" s="154"/>
      <c r="N38" s="153"/>
      <c r="O38" s="153"/>
      <c r="P38" s="153"/>
      <c r="Q38" s="153"/>
      <c r="R38" s="166">
        <f t="shared" si="22"/>
        <v>284.24099999999999</v>
      </c>
      <c r="S38" s="155"/>
      <c r="T38" s="166">
        <f>Sheet1!H9</f>
        <v>284.24099999999999</v>
      </c>
      <c r="U38" s="166">
        <f>V38+W38</f>
        <v>7.22</v>
      </c>
      <c r="V38" s="166"/>
      <c r="W38" s="166">
        <v>7.22</v>
      </c>
      <c r="X38" s="166">
        <f t="shared" si="18"/>
        <v>2.5400980154164952</v>
      </c>
      <c r="Y38" s="153"/>
    </row>
    <row r="39" spans="1:26" s="90" customFormat="1">
      <c r="A39" s="113">
        <v>2</v>
      </c>
      <c r="B39" s="120" t="s">
        <v>214</v>
      </c>
      <c r="C39" s="112"/>
      <c r="D39" s="112"/>
      <c r="E39" s="107"/>
      <c r="F39" s="108"/>
      <c r="G39" s="108"/>
      <c r="H39" s="108"/>
      <c r="I39" s="158"/>
      <c r="J39" s="158"/>
      <c r="K39" s="158"/>
      <c r="L39" s="158"/>
      <c r="M39" s="158"/>
      <c r="N39" s="159"/>
      <c r="O39" s="159"/>
      <c r="P39" s="159"/>
      <c r="Q39" s="159"/>
      <c r="R39" s="167">
        <f t="shared" si="22"/>
        <v>6241.6959999999999</v>
      </c>
      <c r="S39" s="160"/>
      <c r="T39" s="158">
        <f>T40+T41</f>
        <v>6241.6959999999999</v>
      </c>
      <c r="U39" s="154">
        <f t="shared" ref="U39:U52" si="23">V39+W39</f>
        <v>0</v>
      </c>
      <c r="V39" s="159"/>
      <c r="W39" s="159"/>
      <c r="X39" s="82">
        <f t="shared" si="18"/>
        <v>0</v>
      </c>
      <c r="Y39" s="159"/>
    </row>
    <row r="40" spans="1:26" ht="30">
      <c r="A40" s="161" t="s">
        <v>83</v>
      </c>
      <c r="B40" s="119" t="s">
        <v>85</v>
      </c>
      <c r="C40" s="299" t="s">
        <v>67</v>
      </c>
      <c r="D40" s="117" t="s">
        <v>63</v>
      </c>
      <c r="E40" s="118" t="s">
        <v>216</v>
      </c>
      <c r="F40" s="153"/>
      <c r="G40" s="153"/>
      <c r="H40" s="153"/>
      <c r="I40" s="154"/>
      <c r="J40" s="154"/>
      <c r="K40" s="154"/>
      <c r="L40" s="154"/>
      <c r="M40" s="154"/>
      <c r="N40" s="153"/>
      <c r="O40" s="153"/>
      <c r="P40" s="153"/>
      <c r="Q40" s="153"/>
      <c r="R40" s="166">
        <f t="shared" si="22"/>
        <v>5678.1040000000003</v>
      </c>
      <c r="S40" s="155"/>
      <c r="T40" s="154">
        <f>Sheet1!H11</f>
        <v>5678.1040000000003</v>
      </c>
      <c r="U40" s="154">
        <f t="shared" si="23"/>
        <v>0</v>
      </c>
      <c r="V40" s="153"/>
      <c r="W40" s="153"/>
      <c r="X40" s="82">
        <f t="shared" si="18"/>
        <v>0</v>
      </c>
      <c r="Y40" s="153"/>
    </row>
    <row r="41" spans="1:26" ht="30">
      <c r="A41" s="122" t="s">
        <v>84</v>
      </c>
      <c r="B41" s="115" t="s">
        <v>88</v>
      </c>
      <c r="C41" s="300"/>
      <c r="D41" s="122" t="s">
        <v>74</v>
      </c>
      <c r="E41" s="118" t="s">
        <v>217</v>
      </c>
      <c r="F41" s="108"/>
      <c r="G41" s="108"/>
      <c r="H41" s="108"/>
      <c r="I41" s="154"/>
      <c r="J41" s="154"/>
      <c r="K41" s="154"/>
      <c r="L41" s="154"/>
      <c r="M41" s="154"/>
      <c r="N41" s="153"/>
      <c r="O41" s="153"/>
      <c r="P41" s="153"/>
      <c r="Q41" s="153"/>
      <c r="R41" s="166">
        <f t="shared" si="22"/>
        <v>563.5920000000001</v>
      </c>
      <c r="S41" s="155"/>
      <c r="T41" s="154">
        <f>Sheet1!H12</f>
        <v>563.5920000000001</v>
      </c>
      <c r="U41" s="154">
        <f t="shared" si="23"/>
        <v>0</v>
      </c>
      <c r="V41" s="153"/>
      <c r="W41" s="153"/>
      <c r="X41" s="82">
        <f t="shared" si="18"/>
        <v>0</v>
      </c>
      <c r="Y41" s="153"/>
    </row>
    <row r="42" spans="1:26" s="90" customFormat="1">
      <c r="A42" s="113">
        <v>4</v>
      </c>
      <c r="B42" s="120" t="s">
        <v>246</v>
      </c>
      <c r="C42" s="112"/>
      <c r="D42" s="112"/>
      <c r="E42" s="107"/>
      <c r="F42" s="108"/>
      <c r="G42" s="108"/>
      <c r="H42" s="108"/>
      <c r="I42" s="158"/>
      <c r="J42" s="158"/>
      <c r="K42" s="158"/>
      <c r="L42" s="158"/>
      <c r="M42" s="158"/>
      <c r="N42" s="159"/>
      <c r="O42" s="159"/>
      <c r="P42" s="159"/>
      <c r="Q42" s="159"/>
      <c r="R42" s="167">
        <f t="shared" si="22"/>
        <v>3418.2290000000003</v>
      </c>
      <c r="S42" s="160"/>
      <c r="T42" s="158">
        <f>SUM(T43:T52)</f>
        <v>3418.2290000000003</v>
      </c>
      <c r="U42" s="158">
        <f>SUM(U43:U52)</f>
        <v>66.585999999999999</v>
      </c>
      <c r="V42" s="158">
        <f t="shared" ref="V42:W42" si="24">SUM(V43:V52)</f>
        <v>0</v>
      </c>
      <c r="W42" s="158">
        <f t="shared" si="24"/>
        <v>66.585999999999999</v>
      </c>
      <c r="X42" s="82">
        <f t="shared" si="18"/>
        <v>1.9479677926786061</v>
      </c>
      <c r="Y42" s="159"/>
    </row>
    <row r="43" spans="1:26" ht="15" customHeight="1">
      <c r="A43" s="161" t="s">
        <v>91</v>
      </c>
      <c r="B43" s="129" t="s">
        <v>248</v>
      </c>
      <c r="C43" s="296" t="s">
        <v>67</v>
      </c>
      <c r="D43" s="117" t="s">
        <v>23</v>
      </c>
      <c r="E43" s="118" t="s">
        <v>249</v>
      </c>
      <c r="F43" s="153"/>
      <c r="G43" s="153"/>
      <c r="H43" s="153"/>
      <c r="I43" s="154"/>
      <c r="J43" s="154"/>
      <c r="K43" s="154"/>
      <c r="L43" s="154"/>
      <c r="M43" s="154"/>
      <c r="N43" s="153"/>
      <c r="O43" s="153"/>
      <c r="P43" s="153"/>
      <c r="Q43" s="153"/>
      <c r="R43" s="166">
        <f t="shared" si="22"/>
        <v>140.559</v>
      </c>
      <c r="S43" s="155"/>
      <c r="T43" s="154">
        <f>Sheet1!H25</f>
        <v>140.559</v>
      </c>
      <c r="U43" s="154">
        <f t="shared" si="23"/>
        <v>0</v>
      </c>
      <c r="V43" s="153"/>
      <c r="W43" s="153"/>
      <c r="X43" s="82">
        <f t="shared" si="18"/>
        <v>0</v>
      </c>
      <c r="Y43" s="153"/>
    </row>
    <row r="44" spans="1:26">
      <c r="A44" s="161" t="s">
        <v>94</v>
      </c>
      <c r="B44" s="129" t="s">
        <v>251</v>
      </c>
      <c r="C44" s="297"/>
      <c r="D44" s="117" t="s">
        <v>22</v>
      </c>
      <c r="E44" s="118" t="s">
        <v>252</v>
      </c>
      <c r="F44" s="153"/>
      <c r="G44" s="153"/>
      <c r="H44" s="153"/>
      <c r="I44" s="154"/>
      <c r="J44" s="154"/>
      <c r="K44" s="154"/>
      <c r="L44" s="154"/>
      <c r="M44" s="154"/>
      <c r="N44" s="153"/>
      <c r="O44" s="153"/>
      <c r="P44" s="153"/>
      <c r="Q44" s="153"/>
      <c r="R44" s="166">
        <f t="shared" si="22"/>
        <v>274.56799999999998</v>
      </c>
      <c r="S44" s="155"/>
      <c r="T44" s="154">
        <f>Sheet1!H26</f>
        <v>274.56799999999998</v>
      </c>
      <c r="U44" s="154">
        <f t="shared" si="23"/>
        <v>0</v>
      </c>
      <c r="V44" s="153"/>
      <c r="W44" s="153"/>
      <c r="X44" s="82">
        <f t="shared" si="18"/>
        <v>0</v>
      </c>
      <c r="Y44" s="153"/>
    </row>
    <row r="45" spans="1:26">
      <c r="A45" s="161" t="s">
        <v>95</v>
      </c>
      <c r="B45" s="129" t="s">
        <v>254</v>
      </c>
      <c r="C45" s="297"/>
      <c r="D45" s="117" t="s">
        <v>93</v>
      </c>
      <c r="E45" s="118" t="s">
        <v>255</v>
      </c>
      <c r="F45" s="153"/>
      <c r="G45" s="153"/>
      <c r="H45" s="153"/>
      <c r="I45" s="154"/>
      <c r="J45" s="154"/>
      <c r="K45" s="154"/>
      <c r="L45" s="154"/>
      <c r="M45" s="154"/>
      <c r="N45" s="153"/>
      <c r="O45" s="153"/>
      <c r="P45" s="153"/>
      <c r="Q45" s="153"/>
      <c r="R45" s="166">
        <f t="shared" si="22"/>
        <v>286.221</v>
      </c>
      <c r="S45" s="155"/>
      <c r="T45" s="154">
        <f>Sheet1!H27</f>
        <v>286.221</v>
      </c>
      <c r="U45" s="154">
        <f t="shared" si="23"/>
        <v>0</v>
      </c>
      <c r="V45" s="153"/>
      <c r="W45" s="153"/>
      <c r="X45" s="82">
        <f t="shared" si="18"/>
        <v>0</v>
      </c>
      <c r="Y45" s="153"/>
    </row>
    <row r="46" spans="1:26">
      <c r="A46" s="161" t="s">
        <v>96</v>
      </c>
      <c r="B46" s="129" t="s">
        <v>257</v>
      </c>
      <c r="C46" s="297"/>
      <c r="D46" s="117" t="s">
        <v>19</v>
      </c>
      <c r="E46" s="118" t="s">
        <v>258</v>
      </c>
      <c r="F46" s="153"/>
      <c r="G46" s="153"/>
      <c r="H46" s="153"/>
      <c r="I46" s="154"/>
      <c r="J46" s="154"/>
      <c r="K46" s="154"/>
      <c r="L46" s="154"/>
      <c r="M46" s="154"/>
      <c r="N46" s="153"/>
      <c r="O46" s="153"/>
      <c r="P46" s="153"/>
      <c r="Q46" s="153"/>
      <c r="R46" s="166">
        <f t="shared" si="22"/>
        <v>64.825000000000045</v>
      </c>
      <c r="S46" s="155"/>
      <c r="T46" s="154">
        <f>Sheet1!H28</f>
        <v>64.825000000000045</v>
      </c>
      <c r="U46" s="154">
        <f t="shared" si="23"/>
        <v>46.826000000000001</v>
      </c>
      <c r="V46" s="153"/>
      <c r="W46" s="153">
        <v>46.826000000000001</v>
      </c>
      <c r="X46" s="82">
        <f t="shared" si="18"/>
        <v>72.234477439259493</v>
      </c>
      <c r="Y46" s="153"/>
    </row>
    <row r="47" spans="1:26">
      <c r="A47" s="161" t="s">
        <v>187</v>
      </c>
      <c r="B47" s="129" t="s">
        <v>260</v>
      </c>
      <c r="C47" s="297"/>
      <c r="D47" s="117" t="s">
        <v>22</v>
      </c>
      <c r="E47" s="118" t="s">
        <v>261</v>
      </c>
      <c r="F47" s="153"/>
      <c r="G47" s="153"/>
      <c r="H47" s="153"/>
      <c r="I47" s="154"/>
      <c r="J47" s="154"/>
      <c r="K47" s="154"/>
      <c r="L47" s="154"/>
      <c r="M47" s="154"/>
      <c r="N47" s="153"/>
      <c r="O47" s="153"/>
      <c r="P47" s="153"/>
      <c r="Q47" s="153"/>
      <c r="R47" s="166">
        <f t="shared" si="22"/>
        <v>447.65300000000002</v>
      </c>
      <c r="S47" s="155"/>
      <c r="T47" s="154">
        <f>Sheet1!H29</f>
        <v>447.65300000000002</v>
      </c>
      <c r="U47" s="154">
        <f t="shared" si="23"/>
        <v>0</v>
      </c>
      <c r="V47" s="153"/>
      <c r="W47" s="153"/>
      <c r="X47" s="82">
        <f t="shared" si="18"/>
        <v>0</v>
      </c>
      <c r="Y47" s="153"/>
    </row>
    <row r="48" spans="1:26">
      <c r="A48" s="161" t="s">
        <v>191</v>
      </c>
      <c r="B48" s="129" t="s">
        <v>263</v>
      </c>
      <c r="C48" s="297"/>
      <c r="D48" s="117" t="s">
        <v>92</v>
      </c>
      <c r="E48" s="118" t="s">
        <v>264</v>
      </c>
      <c r="F48" s="153"/>
      <c r="G48" s="153"/>
      <c r="H48" s="153"/>
      <c r="I48" s="154"/>
      <c r="J48" s="154"/>
      <c r="K48" s="154"/>
      <c r="L48" s="154"/>
      <c r="M48" s="154"/>
      <c r="N48" s="153"/>
      <c r="O48" s="153"/>
      <c r="P48" s="153"/>
      <c r="Q48" s="153"/>
      <c r="R48" s="166">
        <f t="shared" si="22"/>
        <v>447.50299999999999</v>
      </c>
      <c r="S48" s="155"/>
      <c r="T48" s="154">
        <f>Sheet1!H30</f>
        <v>447.50299999999999</v>
      </c>
      <c r="U48" s="154">
        <f t="shared" si="23"/>
        <v>0</v>
      </c>
      <c r="V48" s="153"/>
      <c r="W48" s="153"/>
      <c r="X48" s="82">
        <f t="shared" si="18"/>
        <v>0</v>
      </c>
      <c r="Y48" s="153"/>
    </row>
    <row r="49" spans="1:25">
      <c r="A49" s="161" t="s">
        <v>194</v>
      </c>
      <c r="B49" s="129" t="s">
        <v>266</v>
      </c>
      <c r="C49" s="297"/>
      <c r="D49" s="117" t="s">
        <v>23</v>
      </c>
      <c r="E49" s="118" t="s">
        <v>267</v>
      </c>
      <c r="F49" s="153"/>
      <c r="G49" s="153"/>
      <c r="H49" s="153"/>
      <c r="I49" s="154"/>
      <c r="J49" s="154"/>
      <c r="K49" s="154"/>
      <c r="L49" s="154"/>
      <c r="M49" s="154"/>
      <c r="N49" s="153"/>
      <c r="O49" s="153"/>
      <c r="P49" s="153"/>
      <c r="Q49" s="153"/>
      <c r="R49" s="166">
        <f t="shared" si="22"/>
        <v>6.6779999999999973</v>
      </c>
      <c r="S49" s="155"/>
      <c r="T49" s="154">
        <f>Sheet1!H31</f>
        <v>6.6779999999999973</v>
      </c>
      <c r="U49" s="154">
        <f t="shared" si="23"/>
        <v>0</v>
      </c>
      <c r="V49" s="153"/>
      <c r="W49" s="153"/>
      <c r="X49" s="82">
        <f t="shared" si="18"/>
        <v>0</v>
      </c>
      <c r="Y49" s="153"/>
    </row>
    <row r="50" spans="1:25">
      <c r="A50" s="161" t="s">
        <v>457</v>
      </c>
      <c r="B50" s="119" t="s">
        <v>254</v>
      </c>
      <c r="C50" s="297"/>
      <c r="D50" s="122" t="s">
        <v>93</v>
      </c>
      <c r="E50" s="114" t="s">
        <v>269</v>
      </c>
      <c r="F50" s="153"/>
      <c r="G50" s="153"/>
      <c r="H50" s="153"/>
      <c r="I50" s="154"/>
      <c r="J50" s="154"/>
      <c r="K50" s="154"/>
      <c r="L50" s="154"/>
      <c r="M50" s="154"/>
      <c r="N50" s="153"/>
      <c r="O50" s="153"/>
      <c r="P50" s="153"/>
      <c r="Q50" s="153"/>
      <c r="R50" s="166">
        <f t="shared" si="22"/>
        <v>447.59899999999999</v>
      </c>
      <c r="S50" s="155"/>
      <c r="T50" s="154">
        <f>Sheet1!H32</f>
        <v>447.59899999999999</v>
      </c>
      <c r="U50" s="154">
        <f t="shared" si="23"/>
        <v>0</v>
      </c>
      <c r="V50" s="153"/>
      <c r="W50" s="153"/>
      <c r="X50" s="82">
        <f t="shared" si="18"/>
        <v>0</v>
      </c>
      <c r="Y50" s="153"/>
    </row>
    <row r="51" spans="1:25">
      <c r="A51" s="161" t="s">
        <v>458</v>
      </c>
      <c r="B51" s="119" t="s">
        <v>271</v>
      </c>
      <c r="C51" s="297"/>
      <c r="D51" s="122" t="s">
        <v>21</v>
      </c>
      <c r="E51" s="114" t="s">
        <v>272</v>
      </c>
      <c r="F51" s="153"/>
      <c r="G51" s="153"/>
      <c r="H51" s="153"/>
      <c r="I51" s="154"/>
      <c r="J51" s="154"/>
      <c r="K51" s="154"/>
      <c r="L51" s="154"/>
      <c r="M51" s="154"/>
      <c r="N51" s="153"/>
      <c r="O51" s="153"/>
      <c r="P51" s="153"/>
      <c r="Q51" s="153"/>
      <c r="R51" s="166">
        <f t="shared" si="22"/>
        <v>447.46899999999999</v>
      </c>
      <c r="S51" s="155"/>
      <c r="T51" s="154">
        <f>Sheet1!H33</f>
        <v>447.46899999999999</v>
      </c>
      <c r="U51" s="154">
        <f t="shared" si="23"/>
        <v>0</v>
      </c>
      <c r="V51" s="153"/>
      <c r="W51" s="153"/>
      <c r="X51" s="82">
        <f t="shared" si="18"/>
        <v>0</v>
      </c>
      <c r="Y51" s="153"/>
    </row>
    <row r="52" spans="1:25">
      <c r="A52" s="161" t="s">
        <v>459</v>
      </c>
      <c r="B52" s="119" t="s">
        <v>274</v>
      </c>
      <c r="C52" s="298"/>
      <c r="D52" s="122" t="s">
        <v>19</v>
      </c>
      <c r="E52" s="114" t="s">
        <v>275</v>
      </c>
      <c r="F52" s="153"/>
      <c r="G52" s="153"/>
      <c r="H52" s="153"/>
      <c r="I52" s="154"/>
      <c r="J52" s="154"/>
      <c r="K52" s="154"/>
      <c r="L52" s="154"/>
      <c r="M52" s="154"/>
      <c r="N52" s="153"/>
      <c r="O52" s="153"/>
      <c r="P52" s="153"/>
      <c r="Q52" s="153"/>
      <c r="R52" s="166">
        <f t="shared" si="22"/>
        <v>855.154</v>
      </c>
      <c r="S52" s="155"/>
      <c r="T52" s="154">
        <f>Sheet1!H34</f>
        <v>855.154</v>
      </c>
      <c r="U52" s="154">
        <f t="shared" si="23"/>
        <v>19.760000000000002</v>
      </c>
      <c r="V52" s="153"/>
      <c r="W52" s="153">
        <v>19.760000000000002</v>
      </c>
      <c r="X52" s="82">
        <f t="shared" si="18"/>
        <v>2.3106949157695573</v>
      </c>
      <c r="Y52" s="153"/>
    </row>
  </sheetData>
  <mergeCells count="38">
    <mergeCell ref="X5:X8"/>
    <mergeCell ref="W4:Y4"/>
    <mergeCell ref="C27:C33"/>
    <mergeCell ref="C20:C21"/>
    <mergeCell ref="C14:C15"/>
    <mergeCell ref="C17:C18"/>
    <mergeCell ref="S7:T7"/>
    <mergeCell ref="U7:U8"/>
    <mergeCell ref="J7:J8"/>
    <mergeCell ref="V7:W7"/>
    <mergeCell ref="F5:F8"/>
    <mergeCell ref="G5:G8"/>
    <mergeCell ref="H5:J5"/>
    <mergeCell ref="K5:L6"/>
    <mergeCell ref="R7:R8"/>
    <mergeCell ref="K7:K8"/>
    <mergeCell ref="L7:L8"/>
    <mergeCell ref="O7:P7"/>
    <mergeCell ref="Q7:Q8"/>
    <mergeCell ref="A2:Y2"/>
    <mergeCell ref="A1:Y1"/>
    <mergeCell ref="A5:A8"/>
    <mergeCell ref="B5:B8"/>
    <mergeCell ref="C5:C8"/>
    <mergeCell ref="D5:D8"/>
    <mergeCell ref="E5:E8"/>
    <mergeCell ref="R5:T6"/>
    <mergeCell ref="U5:W6"/>
    <mergeCell ref="Y5:Y8"/>
    <mergeCell ref="H6:H8"/>
    <mergeCell ref="I6:J6"/>
    <mergeCell ref="I7:I8"/>
    <mergeCell ref="M5:P6"/>
    <mergeCell ref="M7:M8"/>
    <mergeCell ref="N7:N8"/>
    <mergeCell ref="C40:C41"/>
    <mergeCell ref="C37:C38"/>
    <mergeCell ref="C43:C52"/>
  </mergeCells>
  <phoneticPr fontId="266" type="noConversion"/>
  <pageMargins left="0.45" right="0.45" top="0.39" bottom="0.42" header="0.3" footer="0.3"/>
  <pageSetup paperSize="9" scale="92"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1"/>
    <col min="2" max="2" width="45.6640625" style="21" customWidth="1"/>
    <col min="3" max="3" width="20" style="21" customWidth="1"/>
    <col min="4" max="4" width="19.33203125" style="21" customWidth="1"/>
    <col min="5" max="5" width="11.5" style="21" customWidth="1"/>
    <col min="6" max="8" width="18" style="21" customWidth="1"/>
    <col min="9" max="9" width="16.5" style="21" customWidth="1"/>
    <col min="10" max="16384" width="9.33203125" style="21"/>
  </cols>
  <sheetData>
    <row r="4" spans="1:9" ht="14.25">
      <c r="A4" s="339" t="s">
        <v>7</v>
      </c>
      <c r="B4" s="340"/>
      <c r="C4" s="106"/>
      <c r="D4" s="107"/>
      <c r="E4" s="107"/>
      <c r="F4" s="108">
        <f>F5+F48+F90</f>
        <v>129024.98800000001</v>
      </c>
      <c r="G4" s="108">
        <f>G5+G48+G90</f>
        <v>77012.660736000005</v>
      </c>
      <c r="H4" s="108">
        <f>H5+H48+H90</f>
        <v>52012.327264000014</v>
      </c>
      <c r="I4" s="151">
        <f>H4-52012.32</f>
        <v>7.2640000144019723E-3</v>
      </c>
    </row>
    <row r="5" spans="1:9" ht="42.75">
      <c r="A5" s="109" t="s">
        <v>3</v>
      </c>
      <c r="B5" s="110" t="s">
        <v>72</v>
      </c>
      <c r="C5" s="110"/>
      <c r="D5" s="110"/>
      <c r="E5" s="110"/>
      <c r="F5" s="111">
        <f>F6+F10+F13+F24+F35+F46</f>
        <v>47641.988000000005</v>
      </c>
      <c r="G5" s="111">
        <f>G6+G10+G13+G24+G35+G46</f>
        <v>27271.781936000003</v>
      </c>
      <c r="H5" s="111">
        <f>H6+H10+H13+H24+H35+H46</f>
        <v>20370.206064000002</v>
      </c>
    </row>
    <row r="6" spans="1:9" ht="14.25">
      <c r="A6" s="112">
        <v>1</v>
      </c>
      <c r="B6" s="107" t="s">
        <v>37</v>
      </c>
      <c r="C6" s="107"/>
      <c r="D6" s="107"/>
      <c r="E6" s="107"/>
      <c r="F6" s="108">
        <f>F7</f>
        <v>3906</v>
      </c>
      <c r="G6" s="108">
        <f t="shared" ref="G6:H6" si="0">G7</f>
        <v>3032.4970000000003</v>
      </c>
      <c r="H6" s="108">
        <f t="shared" si="0"/>
        <v>873.50299999999993</v>
      </c>
    </row>
    <row r="7" spans="1:9" ht="14.25">
      <c r="A7" s="113" t="s">
        <v>76</v>
      </c>
      <c r="B7" s="107" t="s">
        <v>77</v>
      </c>
      <c r="C7" s="107"/>
      <c r="D7" s="107"/>
      <c r="E7" s="107"/>
      <c r="F7" s="108">
        <f t="shared" ref="F7:G7" si="1">SUM(F8:F9)</f>
        <v>3906</v>
      </c>
      <c r="G7" s="108">
        <f t="shared" si="1"/>
        <v>3032.4970000000003</v>
      </c>
      <c r="H7" s="108">
        <f>SUM(H8:H9)</f>
        <v>873.50299999999993</v>
      </c>
      <c r="I7" s="151"/>
    </row>
    <row r="8" spans="1:9" ht="30">
      <c r="A8" s="114" t="s">
        <v>78</v>
      </c>
      <c r="B8" s="115" t="s">
        <v>79</v>
      </c>
      <c r="C8" s="296" t="s">
        <v>67</v>
      </c>
      <c r="D8" s="117" t="s">
        <v>44</v>
      </c>
      <c r="E8" s="118" t="s">
        <v>212</v>
      </c>
      <c r="F8" s="116">
        <v>2000</v>
      </c>
      <c r="G8" s="116">
        <v>1410.7380000000001</v>
      </c>
      <c r="H8" s="116">
        <f>F8-G8</f>
        <v>589.26199999999994</v>
      </c>
    </row>
    <row r="9" spans="1:9" ht="30">
      <c r="A9" s="114" t="s">
        <v>80</v>
      </c>
      <c r="B9" s="119" t="s">
        <v>81</v>
      </c>
      <c r="C9" s="297"/>
      <c r="D9" s="117" t="s">
        <v>46</v>
      </c>
      <c r="E9" s="118" t="s">
        <v>213</v>
      </c>
      <c r="F9" s="116">
        <v>1906</v>
      </c>
      <c r="G9" s="116">
        <v>1621.759</v>
      </c>
      <c r="H9" s="116">
        <f>F9-G9</f>
        <v>284.24099999999999</v>
      </c>
    </row>
    <row r="10" spans="1:9" ht="14.25">
      <c r="A10" s="113">
        <v>2</v>
      </c>
      <c r="B10" s="120" t="s">
        <v>214</v>
      </c>
      <c r="C10" s="107"/>
      <c r="D10" s="107"/>
      <c r="E10" s="107"/>
      <c r="F10" s="108">
        <f>SUM(F11:F12)</f>
        <v>10167</v>
      </c>
      <c r="G10" s="108">
        <f>SUM(G11:G12)</f>
        <v>3925.3040000000001</v>
      </c>
      <c r="H10" s="108">
        <f>SUM(H11:H12)</f>
        <v>6241.6959999999999</v>
      </c>
    </row>
    <row r="11" spans="1:9" ht="45">
      <c r="A11" s="114" t="s">
        <v>84</v>
      </c>
      <c r="B11" s="119" t="s">
        <v>85</v>
      </c>
      <c r="C11" s="150" t="s">
        <v>67</v>
      </c>
      <c r="D11" s="117" t="s">
        <v>63</v>
      </c>
      <c r="E11" s="118" t="s">
        <v>216</v>
      </c>
      <c r="F11" s="116">
        <v>6567</v>
      </c>
      <c r="G11" s="116">
        <v>888.89599999999996</v>
      </c>
      <c r="H11" s="116">
        <f>F11-G11</f>
        <v>5678.1040000000003</v>
      </c>
    </row>
    <row r="12" spans="1:9" ht="45">
      <c r="A12" s="122" t="s">
        <v>87</v>
      </c>
      <c r="B12" s="115" t="s">
        <v>88</v>
      </c>
      <c r="C12" s="150" t="s">
        <v>67</v>
      </c>
      <c r="D12" s="122" t="s">
        <v>74</v>
      </c>
      <c r="E12" s="118" t="s">
        <v>217</v>
      </c>
      <c r="F12" s="116">
        <v>3600</v>
      </c>
      <c r="G12" s="116">
        <v>3036.4079999999999</v>
      </c>
      <c r="H12" s="116">
        <f>F12-G12</f>
        <v>563.5920000000001</v>
      </c>
    </row>
    <row r="13" spans="1:9" ht="14.25">
      <c r="A13" s="113">
        <v>3</v>
      </c>
      <c r="B13" s="123" t="s">
        <v>33</v>
      </c>
      <c r="C13" s="123"/>
      <c r="D13" s="107"/>
      <c r="E13" s="107"/>
      <c r="F13" s="108">
        <f>SUM(F14:F23)</f>
        <v>22885.960000000003</v>
      </c>
      <c r="G13" s="108">
        <f>SUM(G14:G23)</f>
        <v>14498.561884000002</v>
      </c>
      <c r="H13" s="108">
        <f>SUM(H14:H23)</f>
        <v>8387.3981160000003</v>
      </c>
    </row>
    <row r="14" spans="1:9" ht="30">
      <c r="A14" s="122" t="s">
        <v>89</v>
      </c>
      <c r="B14" s="115" t="s">
        <v>218</v>
      </c>
      <c r="C14" s="115" t="s">
        <v>42</v>
      </c>
      <c r="D14" s="122" t="s">
        <v>42</v>
      </c>
      <c r="E14" s="114" t="s">
        <v>219</v>
      </c>
      <c r="F14" s="116">
        <v>2215.4</v>
      </c>
      <c r="G14" s="116">
        <v>1268.0654999999999</v>
      </c>
      <c r="H14" s="116">
        <f t="shared" ref="H14:H23" si="2">F14-G14</f>
        <v>947.33450000000016</v>
      </c>
    </row>
    <row r="15" spans="1:9" ht="30">
      <c r="A15" s="122" t="s">
        <v>90</v>
      </c>
      <c r="B15" s="115" t="s">
        <v>220</v>
      </c>
      <c r="C15" s="115" t="s">
        <v>63</v>
      </c>
      <c r="D15" s="122" t="s">
        <v>63</v>
      </c>
      <c r="E15" s="114" t="s">
        <v>221</v>
      </c>
      <c r="F15" s="116">
        <v>2190</v>
      </c>
      <c r="G15" s="124">
        <f>990+243.931</f>
        <v>1233.931</v>
      </c>
      <c r="H15" s="116">
        <f t="shared" si="2"/>
        <v>956.06899999999996</v>
      </c>
    </row>
    <row r="16" spans="1:9" ht="30">
      <c r="A16" s="122" t="s">
        <v>222</v>
      </c>
      <c r="B16" s="115" t="s">
        <v>223</v>
      </c>
      <c r="C16" s="119" t="s">
        <v>44</v>
      </c>
      <c r="D16" s="122" t="s">
        <v>44</v>
      </c>
      <c r="E16" s="114" t="s">
        <v>224</v>
      </c>
      <c r="F16" s="116">
        <v>2289.0500000000002</v>
      </c>
      <c r="G16" s="125">
        <v>1226.1110000000001</v>
      </c>
      <c r="H16" s="116">
        <f t="shared" si="2"/>
        <v>1062.9390000000001</v>
      </c>
    </row>
    <row r="17" spans="1:8" ht="30">
      <c r="A17" s="122" t="s">
        <v>225</v>
      </c>
      <c r="B17" s="115" t="s">
        <v>226</v>
      </c>
      <c r="C17" s="119" t="s">
        <v>52</v>
      </c>
      <c r="D17" s="122" t="s">
        <v>52</v>
      </c>
      <c r="E17" s="114" t="s">
        <v>227</v>
      </c>
      <c r="F17" s="116">
        <v>2286.12</v>
      </c>
      <c r="G17" s="121">
        <f>235.915+989.544798</f>
        <v>1225.4597980000001</v>
      </c>
      <c r="H17" s="116">
        <f t="shared" si="2"/>
        <v>1060.6602019999998</v>
      </c>
    </row>
    <row r="18" spans="1:8" ht="30">
      <c r="A18" s="122" t="s">
        <v>228</v>
      </c>
      <c r="B18" s="115" t="s">
        <v>229</v>
      </c>
      <c r="C18" s="119" t="s">
        <v>51</v>
      </c>
      <c r="D18" s="122" t="s">
        <v>51</v>
      </c>
      <c r="E18" s="114" t="s">
        <v>230</v>
      </c>
      <c r="F18" s="116">
        <v>2400.64</v>
      </c>
      <c r="G18" s="116">
        <v>2349.446817</v>
      </c>
      <c r="H18" s="116">
        <f t="shared" si="2"/>
        <v>51.193182999999863</v>
      </c>
    </row>
    <row r="19" spans="1:8" ht="30">
      <c r="A19" s="122" t="s">
        <v>231</v>
      </c>
      <c r="B19" s="115" t="s">
        <v>232</v>
      </c>
      <c r="C19" s="119" t="s">
        <v>46</v>
      </c>
      <c r="D19" s="122" t="s">
        <v>46</v>
      </c>
      <c r="E19" s="114" t="s">
        <v>233</v>
      </c>
      <c r="F19" s="116">
        <v>2448.7600000000002</v>
      </c>
      <c r="G19" s="116">
        <f>2294.972289+41.2092</f>
        <v>2336.1814889999996</v>
      </c>
      <c r="H19" s="116">
        <f t="shared" si="2"/>
        <v>112.57851100000062</v>
      </c>
    </row>
    <row r="20" spans="1:8" ht="30">
      <c r="A20" s="122" t="s">
        <v>234</v>
      </c>
      <c r="B20" s="115" t="s">
        <v>235</v>
      </c>
      <c r="C20" s="119" t="s">
        <v>64</v>
      </c>
      <c r="D20" s="122" t="s">
        <v>64</v>
      </c>
      <c r="E20" s="114" t="s">
        <v>236</v>
      </c>
      <c r="F20" s="116">
        <v>2272.61</v>
      </c>
      <c r="G20" s="121">
        <f>242.691+988.058</f>
        <v>1230.749</v>
      </c>
      <c r="H20" s="116">
        <f t="shared" si="2"/>
        <v>1041.8610000000001</v>
      </c>
    </row>
    <row r="21" spans="1:8" ht="30">
      <c r="A21" s="122" t="s">
        <v>237</v>
      </c>
      <c r="B21" s="115" t="s">
        <v>238</v>
      </c>
      <c r="C21" s="119" t="s">
        <v>62</v>
      </c>
      <c r="D21" s="122" t="s">
        <v>62</v>
      </c>
      <c r="E21" s="114" t="s">
        <v>239</v>
      </c>
      <c r="F21" s="116">
        <v>2202.5100000000002</v>
      </c>
      <c r="G21" s="116">
        <f>236.438+982.476</f>
        <v>1218.914</v>
      </c>
      <c r="H21" s="116">
        <f t="shared" si="2"/>
        <v>983.59600000000023</v>
      </c>
    </row>
    <row r="22" spans="1:8" ht="30">
      <c r="A22" s="122" t="s">
        <v>240</v>
      </c>
      <c r="B22" s="115" t="s">
        <v>241</v>
      </c>
      <c r="C22" s="119" t="s">
        <v>65</v>
      </c>
      <c r="D22" s="122" t="s">
        <v>65</v>
      </c>
      <c r="E22" s="114" t="s">
        <v>242</v>
      </c>
      <c r="F22" s="116">
        <v>2299.81</v>
      </c>
      <c r="G22" s="121">
        <v>1174.91544</v>
      </c>
      <c r="H22" s="116">
        <f t="shared" si="2"/>
        <v>1124.89456</v>
      </c>
    </row>
    <row r="23" spans="1:8" ht="30">
      <c r="A23" s="122" t="s">
        <v>243</v>
      </c>
      <c r="B23" s="115" t="s">
        <v>244</v>
      </c>
      <c r="C23" s="119" t="s">
        <v>66</v>
      </c>
      <c r="D23" s="122" t="s">
        <v>66</v>
      </c>
      <c r="E23" s="114" t="s">
        <v>245</v>
      </c>
      <c r="F23" s="116">
        <v>2281.06</v>
      </c>
      <c r="G23" s="116">
        <f>244.78784+990</f>
        <v>1234.78784</v>
      </c>
      <c r="H23" s="116">
        <f t="shared" si="2"/>
        <v>1046.27216</v>
      </c>
    </row>
    <row r="24" spans="1:8" ht="14.25">
      <c r="A24" s="113">
        <v>4</v>
      </c>
      <c r="B24" s="126" t="s">
        <v>246</v>
      </c>
      <c r="C24" s="127"/>
      <c r="D24" s="127"/>
      <c r="E24" s="128"/>
      <c r="F24" s="108">
        <f>SUM(F25:F34)</f>
        <v>8677</v>
      </c>
      <c r="G24" s="108">
        <f>SUM(G25:G34)</f>
        <v>5258.7709999999997</v>
      </c>
      <c r="H24" s="108">
        <f>SUM(H25:H34)</f>
        <v>3418.2290000000003</v>
      </c>
    </row>
    <row r="25" spans="1:8" ht="15">
      <c r="A25" s="114" t="s">
        <v>247</v>
      </c>
      <c r="B25" s="129" t="s">
        <v>248</v>
      </c>
      <c r="C25" s="296" t="s">
        <v>67</v>
      </c>
      <c r="D25" s="117" t="s">
        <v>23</v>
      </c>
      <c r="E25" s="130" t="s">
        <v>249</v>
      </c>
      <c r="F25" s="116">
        <v>223</v>
      </c>
      <c r="G25" s="116">
        <v>82.441000000000003</v>
      </c>
      <c r="H25" s="116">
        <f t="shared" ref="H25:H34" si="3">F25-G25</f>
        <v>140.559</v>
      </c>
    </row>
    <row r="26" spans="1:8" ht="30">
      <c r="A26" s="114" t="s">
        <v>250</v>
      </c>
      <c r="B26" s="129" t="s">
        <v>251</v>
      </c>
      <c r="C26" s="297"/>
      <c r="D26" s="117" t="s">
        <v>22</v>
      </c>
      <c r="E26" s="130" t="s">
        <v>252</v>
      </c>
      <c r="F26" s="116">
        <v>670</v>
      </c>
      <c r="G26" s="116">
        <v>395.43200000000002</v>
      </c>
      <c r="H26" s="116">
        <f t="shared" si="3"/>
        <v>274.56799999999998</v>
      </c>
    </row>
    <row r="27" spans="1:8" ht="15">
      <c r="A27" s="114" t="s">
        <v>253</v>
      </c>
      <c r="B27" s="129" t="s">
        <v>254</v>
      </c>
      <c r="C27" s="298"/>
      <c r="D27" s="117" t="s">
        <v>93</v>
      </c>
      <c r="E27" s="130" t="s">
        <v>255</v>
      </c>
      <c r="F27" s="116">
        <v>447</v>
      </c>
      <c r="G27" s="116">
        <v>160.779</v>
      </c>
      <c r="H27" s="116">
        <f t="shared" si="3"/>
        <v>286.221</v>
      </c>
    </row>
    <row r="28" spans="1:8" ht="15">
      <c r="A28" s="114" t="s">
        <v>256</v>
      </c>
      <c r="B28" s="129" t="s">
        <v>257</v>
      </c>
      <c r="C28" s="296" t="s">
        <v>67</v>
      </c>
      <c r="D28" s="117" t="s">
        <v>19</v>
      </c>
      <c r="E28" s="130" t="s">
        <v>258</v>
      </c>
      <c r="F28" s="116">
        <v>1391.5</v>
      </c>
      <c r="G28" s="116">
        <v>1326.675</v>
      </c>
      <c r="H28" s="116">
        <f t="shared" si="3"/>
        <v>64.825000000000045</v>
      </c>
    </row>
    <row r="29" spans="1:8" ht="15">
      <c r="A29" s="114" t="s">
        <v>259</v>
      </c>
      <c r="B29" s="129" t="s">
        <v>260</v>
      </c>
      <c r="C29" s="297"/>
      <c r="D29" s="117" t="s">
        <v>22</v>
      </c>
      <c r="E29" s="130" t="s">
        <v>261</v>
      </c>
      <c r="F29" s="116">
        <v>696</v>
      </c>
      <c r="G29" s="116">
        <v>248.34700000000001</v>
      </c>
      <c r="H29" s="116">
        <f t="shared" si="3"/>
        <v>447.65300000000002</v>
      </c>
    </row>
    <row r="30" spans="1:8" ht="15">
      <c r="A30" s="114" t="s">
        <v>262</v>
      </c>
      <c r="B30" s="129" t="s">
        <v>263</v>
      </c>
      <c r="C30" s="297"/>
      <c r="D30" s="117" t="s">
        <v>92</v>
      </c>
      <c r="E30" s="130" t="s">
        <v>264</v>
      </c>
      <c r="F30" s="116">
        <v>695.5</v>
      </c>
      <c r="G30" s="116">
        <v>247.99700000000001</v>
      </c>
      <c r="H30" s="116">
        <f t="shared" si="3"/>
        <v>447.50299999999999</v>
      </c>
    </row>
    <row r="31" spans="1:8" ht="15">
      <c r="A31" s="114" t="s">
        <v>265</v>
      </c>
      <c r="B31" s="129" t="s">
        <v>266</v>
      </c>
      <c r="C31" s="298"/>
      <c r="D31" s="117" t="s">
        <v>23</v>
      </c>
      <c r="E31" s="130" t="s">
        <v>267</v>
      </c>
      <c r="F31" s="116">
        <v>696</v>
      </c>
      <c r="G31" s="116">
        <v>689.322</v>
      </c>
      <c r="H31" s="116">
        <f t="shared" si="3"/>
        <v>6.6779999999999973</v>
      </c>
    </row>
    <row r="32" spans="1:8" ht="15">
      <c r="A32" s="114" t="s">
        <v>268</v>
      </c>
      <c r="B32" s="119" t="s">
        <v>254</v>
      </c>
      <c r="C32" s="338" t="s">
        <v>67</v>
      </c>
      <c r="D32" s="122" t="s">
        <v>93</v>
      </c>
      <c r="E32" s="114" t="s">
        <v>269</v>
      </c>
      <c r="F32" s="116">
        <v>695.5</v>
      </c>
      <c r="G32" s="116">
        <v>247.90100000000001</v>
      </c>
      <c r="H32" s="116">
        <f t="shared" si="3"/>
        <v>447.59899999999999</v>
      </c>
    </row>
    <row r="33" spans="1:8" ht="15">
      <c r="A33" s="114" t="s">
        <v>270</v>
      </c>
      <c r="B33" s="119" t="s">
        <v>271</v>
      </c>
      <c r="C33" s="338"/>
      <c r="D33" s="122" t="s">
        <v>21</v>
      </c>
      <c r="E33" s="114" t="s">
        <v>272</v>
      </c>
      <c r="F33" s="116">
        <v>695.5</v>
      </c>
      <c r="G33" s="116">
        <v>248.03100000000001</v>
      </c>
      <c r="H33" s="116">
        <f t="shared" si="3"/>
        <v>447.46899999999999</v>
      </c>
    </row>
    <row r="34" spans="1:8" ht="45">
      <c r="A34" s="114" t="s">
        <v>273</v>
      </c>
      <c r="B34" s="119" t="s">
        <v>274</v>
      </c>
      <c r="C34" s="131" t="s">
        <v>67</v>
      </c>
      <c r="D34" s="122" t="s">
        <v>19</v>
      </c>
      <c r="E34" s="114" t="s">
        <v>275</v>
      </c>
      <c r="F34" s="116">
        <v>2467</v>
      </c>
      <c r="G34" s="116">
        <v>1611.846</v>
      </c>
      <c r="H34" s="116">
        <f t="shared" si="3"/>
        <v>855.154</v>
      </c>
    </row>
    <row r="35" spans="1:8" ht="14.25">
      <c r="A35" s="113">
        <v>5</v>
      </c>
      <c r="B35" s="123" t="s">
        <v>38</v>
      </c>
      <c r="C35" s="123"/>
      <c r="D35" s="107"/>
      <c r="E35" s="107"/>
      <c r="F35" s="108">
        <f>F36</f>
        <v>1315.0280000000002</v>
      </c>
      <c r="G35" s="108">
        <f t="shared" ref="G35" si="4">G36</f>
        <v>0</v>
      </c>
      <c r="H35" s="108">
        <f>H36</f>
        <v>1315.0280000000002</v>
      </c>
    </row>
    <row r="36" spans="1:8" ht="28.5">
      <c r="A36" s="113" t="s">
        <v>97</v>
      </c>
      <c r="B36" s="123" t="s">
        <v>98</v>
      </c>
      <c r="C36" s="123"/>
      <c r="D36" s="107"/>
      <c r="E36" s="107"/>
      <c r="F36" s="108">
        <f>SUM(F37:F45)</f>
        <v>1315.0280000000002</v>
      </c>
      <c r="G36" s="108">
        <f t="shared" ref="G36:H36" si="5">SUM(G37:G45)</f>
        <v>0</v>
      </c>
      <c r="H36" s="108">
        <f t="shared" si="5"/>
        <v>1315.0280000000002</v>
      </c>
    </row>
    <row r="37" spans="1:8" ht="15">
      <c r="A37" s="114" t="s">
        <v>276</v>
      </c>
      <c r="B37" s="119" t="s">
        <v>277</v>
      </c>
      <c r="C37" s="337" t="s">
        <v>278</v>
      </c>
      <c r="D37" s="122" t="s">
        <v>24</v>
      </c>
      <c r="E37" s="132" t="s">
        <v>279</v>
      </c>
      <c r="F37" s="116">
        <v>161.892</v>
      </c>
      <c r="G37" s="121" t="s">
        <v>215</v>
      </c>
      <c r="H37" s="116">
        <f t="shared" ref="H37:H45" si="6">F37-G37</f>
        <v>161.892</v>
      </c>
    </row>
    <row r="38" spans="1:8" ht="15">
      <c r="A38" s="114" t="s">
        <v>280</v>
      </c>
      <c r="B38" s="119" t="s">
        <v>281</v>
      </c>
      <c r="C38" s="338"/>
      <c r="D38" s="122" t="s">
        <v>21</v>
      </c>
      <c r="E38" s="132" t="s">
        <v>282</v>
      </c>
      <c r="F38" s="116">
        <v>161.892</v>
      </c>
      <c r="G38" s="121" t="s">
        <v>215</v>
      </c>
      <c r="H38" s="116">
        <f t="shared" si="6"/>
        <v>161.892</v>
      </c>
    </row>
    <row r="39" spans="1:8" ht="15">
      <c r="A39" s="114" t="s">
        <v>283</v>
      </c>
      <c r="B39" s="119" t="s">
        <v>284</v>
      </c>
      <c r="C39" s="338"/>
      <c r="D39" s="122" t="s">
        <v>21</v>
      </c>
      <c r="E39" s="132" t="s">
        <v>285</v>
      </c>
      <c r="F39" s="116">
        <v>161.892</v>
      </c>
      <c r="G39" s="121" t="s">
        <v>215</v>
      </c>
      <c r="H39" s="116">
        <f t="shared" si="6"/>
        <v>161.892</v>
      </c>
    </row>
    <row r="40" spans="1:8" ht="15">
      <c r="A40" s="114" t="s">
        <v>286</v>
      </c>
      <c r="B40" s="119" t="s">
        <v>287</v>
      </c>
      <c r="C40" s="338"/>
      <c r="D40" s="122" t="s">
        <v>20</v>
      </c>
      <c r="E40" s="132" t="s">
        <v>288</v>
      </c>
      <c r="F40" s="116">
        <v>161.892</v>
      </c>
      <c r="G40" s="121" t="s">
        <v>215</v>
      </c>
      <c r="H40" s="116">
        <f t="shared" si="6"/>
        <v>161.892</v>
      </c>
    </row>
    <row r="41" spans="1:8" ht="15">
      <c r="A41" s="114" t="s">
        <v>289</v>
      </c>
      <c r="B41" s="119" t="s">
        <v>290</v>
      </c>
      <c r="C41" s="338"/>
      <c r="D41" s="122" t="s">
        <v>22</v>
      </c>
      <c r="E41" s="132" t="s">
        <v>291</v>
      </c>
      <c r="F41" s="116">
        <v>161.892</v>
      </c>
      <c r="G41" s="121" t="s">
        <v>215</v>
      </c>
      <c r="H41" s="116">
        <f t="shared" si="6"/>
        <v>161.892</v>
      </c>
    </row>
    <row r="42" spans="1:8" ht="15">
      <c r="A42" s="114" t="s">
        <v>292</v>
      </c>
      <c r="B42" s="119" t="s">
        <v>293</v>
      </c>
      <c r="C42" s="338"/>
      <c r="D42" s="122" t="s">
        <v>18</v>
      </c>
      <c r="E42" s="132" t="s">
        <v>294</v>
      </c>
      <c r="F42" s="116">
        <v>161.892</v>
      </c>
      <c r="G42" s="121" t="s">
        <v>215</v>
      </c>
      <c r="H42" s="116">
        <f t="shared" si="6"/>
        <v>161.892</v>
      </c>
    </row>
    <row r="43" spans="1:8" ht="15">
      <c r="A43" s="114" t="s">
        <v>295</v>
      </c>
      <c r="B43" s="119" t="s">
        <v>296</v>
      </c>
      <c r="C43" s="338"/>
      <c r="D43" s="122" t="s">
        <v>93</v>
      </c>
      <c r="E43" s="114" t="s">
        <v>297</v>
      </c>
      <c r="F43" s="116">
        <v>161.892</v>
      </c>
      <c r="G43" s="121" t="s">
        <v>215</v>
      </c>
      <c r="H43" s="116">
        <f t="shared" si="6"/>
        <v>161.892</v>
      </c>
    </row>
    <row r="44" spans="1:8" ht="15">
      <c r="A44" s="114" t="s">
        <v>298</v>
      </c>
      <c r="B44" s="119" t="s">
        <v>299</v>
      </c>
      <c r="C44" s="338"/>
      <c r="D44" s="122" t="s">
        <v>93</v>
      </c>
      <c r="E44" s="114" t="s">
        <v>300</v>
      </c>
      <c r="F44" s="116">
        <v>90.891999999999996</v>
      </c>
      <c r="G44" s="116"/>
      <c r="H44" s="116">
        <f t="shared" si="6"/>
        <v>90.891999999999996</v>
      </c>
    </row>
    <row r="45" spans="1:8" ht="15">
      <c r="A45" s="114" t="s">
        <v>301</v>
      </c>
      <c r="B45" s="119" t="s">
        <v>302</v>
      </c>
      <c r="C45" s="338"/>
      <c r="D45" s="122" t="s">
        <v>17</v>
      </c>
      <c r="E45" s="114" t="s">
        <v>303</v>
      </c>
      <c r="F45" s="116">
        <v>90.891999999999996</v>
      </c>
      <c r="G45" s="116"/>
      <c r="H45" s="116">
        <f t="shared" si="6"/>
        <v>90.891999999999996</v>
      </c>
    </row>
    <row r="46" spans="1:8" ht="14.25">
      <c r="A46" s="113">
        <v>6</v>
      </c>
      <c r="B46" s="123" t="s">
        <v>39</v>
      </c>
      <c r="C46" s="123"/>
      <c r="D46" s="107"/>
      <c r="E46" s="107"/>
      <c r="F46" s="108">
        <f>F47</f>
        <v>691</v>
      </c>
      <c r="G46" s="108">
        <f t="shared" ref="G46:H46" si="7">G47</f>
        <v>556.64805200000001</v>
      </c>
      <c r="H46" s="108">
        <f t="shared" si="7"/>
        <v>134.35194799999999</v>
      </c>
    </row>
    <row r="47" spans="1:8" ht="45">
      <c r="A47" s="114" t="s">
        <v>29</v>
      </c>
      <c r="B47" s="119" t="s">
        <v>99</v>
      </c>
      <c r="C47" s="114" t="s">
        <v>278</v>
      </c>
      <c r="D47" s="122" t="s">
        <v>100</v>
      </c>
      <c r="E47" s="132" t="s">
        <v>304</v>
      </c>
      <c r="F47" s="116">
        <v>691</v>
      </c>
      <c r="G47" s="121">
        <f>556.648052</f>
        <v>556.64805200000001</v>
      </c>
      <c r="H47" s="116">
        <f>F47-G47</f>
        <v>134.35194799999999</v>
      </c>
    </row>
    <row r="48" spans="1:8" ht="28.5">
      <c r="A48" s="162" t="s">
        <v>305</v>
      </c>
      <c r="B48" s="163" t="s">
        <v>30</v>
      </c>
      <c r="C48" s="163"/>
      <c r="D48" s="163"/>
      <c r="E48" s="163"/>
      <c r="F48" s="164">
        <f t="shared" ref="F48:H49" si="8">F49</f>
        <v>65249</v>
      </c>
      <c r="G48" s="164">
        <f t="shared" si="8"/>
        <v>42327.4473</v>
      </c>
      <c r="H48" s="164">
        <f t="shared" si="8"/>
        <v>22921.552700000007</v>
      </c>
    </row>
    <row r="49" spans="1:8" ht="14.25">
      <c r="A49" s="112">
        <v>1</v>
      </c>
      <c r="B49" s="107" t="s">
        <v>37</v>
      </c>
      <c r="C49" s="107"/>
      <c r="D49" s="107"/>
      <c r="E49" s="107"/>
      <c r="F49" s="108">
        <f t="shared" si="8"/>
        <v>65249</v>
      </c>
      <c r="G49" s="108">
        <f>G50</f>
        <v>42327.4473</v>
      </c>
      <c r="H49" s="108">
        <f>H50</f>
        <v>22921.552700000007</v>
      </c>
    </row>
    <row r="50" spans="1:8" ht="14.25">
      <c r="A50" s="112" t="s">
        <v>73</v>
      </c>
      <c r="B50" s="107" t="s">
        <v>206</v>
      </c>
      <c r="C50" s="107"/>
      <c r="D50" s="107"/>
      <c r="E50" s="107"/>
      <c r="F50" s="108">
        <f>SUM(F51:F89)</f>
        <v>65249</v>
      </c>
      <c r="G50" s="108">
        <f>SUM(G51:G89)</f>
        <v>42327.4473</v>
      </c>
      <c r="H50" s="108">
        <f>SUM(H51:H89)</f>
        <v>22921.552700000007</v>
      </c>
    </row>
    <row r="51" spans="1:8" ht="30">
      <c r="A51" s="133" t="s">
        <v>36</v>
      </c>
      <c r="B51" s="134" t="s">
        <v>306</v>
      </c>
      <c r="C51" s="299" t="s">
        <v>67</v>
      </c>
      <c r="D51" s="135" t="s">
        <v>62</v>
      </c>
      <c r="E51" s="132" t="s">
        <v>307</v>
      </c>
      <c r="F51" s="116">
        <v>3524</v>
      </c>
      <c r="G51" s="116">
        <v>2305.6999999999998</v>
      </c>
      <c r="H51" s="116">
        <f t="shared" ref="H51:H89" si="9">F51-G51</f>
        <v>1218.3000000000002</v>
      </c>
    </row>
    <row r="52" spans="1:8" ht="30">
      <c r="A52" s="133" t="s">
        <v>57</v>
      </c>
      <c r="B52" s="136" t="s">
        <v>308</v>
      </c>
      <c r="C52" s="301"/>
      <c r="D52" s="137" t="s">
        <v>65</v>
      </c>
      <c r="E52" s="132" t="s">
        <v>309</v>
      </c>
      <c r="F52" s="116">
        <v>4691</v>
      </c>
      <c r="G52" s="116">
        <v>2713.9380000000001</v>
      </c>
      <c r="H52" s="116">
        <f t="shared" si="9"/>
        <v>1977.0619999999999</v>
      </c>
    </row>
    <row r="53" spans="1:8" ht="30">
      <c r="A53" s="133" t="s">
        <v>58</v>
      </c>
      <c r="B53" s="136" t="s">
        <v>310</v>
      </c>
      <c r="C53" s="301"/>
      <c r="D53" s="137" t="s">
        <v>65</v>
      </c>
      <c r="E53" s="132" t="s">
        <v>311</v>
      </c>
      <c r="F53" s="116">
        <v>1319</v>
      </c>
      <c r="G53" s="116">
        <v>153.76499999999999</v>
      </c>
      <c r="H53" s="116">
        <f t="shared" si="9"/>
        <v>1165.2350000000001</v>
      </c>
    </row>
    <row r="54" spans="1:8" ht="30">
      <c r="A54" s="133" t="s">
        <v>59</v>
      </c>
      <c r="B54" s="136" t="s">
        <v>53</v>
      </c>
      <c r="C54" s="301"/>
      <c r="D54" s="137" t="s">
        <v>66</v>
      </c>
      <c r="E54" s="132" t="s">
        <v>312</v>
      </c>
      <c r="F54" s="116">
        <v>3500</v>
      </c>
      <c r="G54" s="116">
        <v>1339.165</v>
      </c>
      <c r="H54" s="116">
        <f t="shared" si="9"/>
        <v>2160.835</v>
      </c>
    </row>
    <row r="55" spans="1:8" ht="45">
      <c r="A55" s="133" t="s">
        <v>60</v>
      </c>
      <c r="B55" s="136" t="s">
        <v>313</v>
      </c>
      <c r="C55" s="301"/>
      <c r="D55" s="137" t="s">
        <v>66</v>
      </c>
      <c r="E55" s="132" t="s">
        <v>314</v>
      </c>
      <c r="F55" s="116">
        <v>1700</v>
      </c>
      <c r="G55" s="116">
        <v>1644.2940000000001</v>
      </c>
      <c r="H55" s="116">
        <f t="shared" si="9"/>
        <v>55.705999999999904</v>
      </c>
    </row>
    <row r="56" spans="1:8" ht="45">
      <c r="A56" s="133" t="s">
        <v>101</v>
      </c>
      <c r="B56" s="136" t="s">
        <v>55</v>
      </c>
      <c r="C56" s="301"/>
      <c r="D56" s="137" t="s">
        <v>42</v>
      </c>
      <c r="E56" s="132" t="s">
        <v>315</v>
      </c>
      <c r="F56" s="116">
        <v>6354</v>
      </c>
      <c r="G56" s="116">
        <v>2204.59</v>
      </c>
      <c r="H56" s="116">
        <f t="shared" si="9"/>
        <v>4149.41</v>
      </c>
    </row>
    <row r="57" spans="1:8" ht="15">
      <c r="A57" s="133" t="s">
        <v>102</v>
      </c>
      <c r="B57" s="136" t="s">
        <v>56</v>
      </c>
      <c r="C57" s="301"/>
      <c r="D57" s="137" t="s">
        <v>45</v>
      </c>
      <c r="E57" s="132" t="s">
        <v>316</v>
      </c>
      <c r="F57" s="116">
        <v>1100</v>
      </c>
      <c r="G57" s="116">
        <v>663.55700000000002</v>
      </c>
      <c r="H57" s="116">
        <f t="shared" si="9"/>
        <v>436.44299999999998</v>
      </c>
    </row>
    <row r="58" spans="1:8" ht="45">
      <c r="A58" s="133" t="s">
        <v>103</v>
      </c>
      <c r="B58" s="136" t="s">
        <v>317</v>
      </c>
      <c r="C58" s="301"/>
      <c r="D58" s="137" t="s">
        <v>45</v>
      </c>
      <c r="E58" s="132" t="s">
        <v>318</v>
      </c>
      <c r="F58" s="116">
        <v>3500</v>
      </c>
      <c r="G58" s="116">
        <v>3454.1750000000002</v>
      </c>
      <c r="H58" s="116">
        <f t="shared" si="9"/>
        <v>45.824999999999818</v>
      </c>
    </row>
    <row r="59" spans="1:8" ht="30">
      <c r="A59" s="133" t="s">
        <v>104</v>
      </c>
      <c r="B59" s="138" t="s">
        <v>319</v>
      </c>
      <c r="C59" s="301"/>
      <c r="D59" s="135" t="s">
        <v>44</v>
      </c>
      <c r="E59" s="132" t="s">
        <v>320</v>
      </c>
      <c r="F59" s="116">
        <v>2200</v>
      </c>
      <c r="G59" s="116">
        <v>1818.818</v>
      </c>
      <c r="H59" s="116">
        <f t="shared" si="9"/>
        <v>381.18200000000002</v>
      </c>
    </row>
    <row r="60" spans="1:8" ht="15">
      <c r="A60" s="133" t="s">
        <v>105</v>
      </c>
      <c r="B60" s="136" t="s">
        <v>321</v>
      </c>
      <c r="C60" s="301"/>
      <c r="D60" s="137" t="s">
        <v>322</v>
      </c>
      <c r="E60" s="132" t="s">
        <v>323</v>
      </c>
      <c r="F60" s="116">
        <v>3476</v>
      </c>
      <c r="G60" s="116">
        <v>2731.6979999999999</v>
      </c>
      <c r="H60" s="116">
        <f t="shared" si="9"/>
        <v>744.30200000000013</v>
      </c>
    </row>
    <row r="61" spans="1:8" ht="15">
      <c r="A61" s="133" t="s">
        <v>106</v>
      </c>
      <c r="B61" s="136" t="s">
        <v>324</v>
      </c>
      <c r="C61" s="301"/>
      <c r="D61" s="135" t="s">
        <v>51</v>
      </c>
      <c r="E61" s="132" t="s">
        <v>325</v>
      </c>
      <c r="F61" s="116">
        <v>2128</v>
      </c>
      <c r="G61" s="116">
        <v>1576.547</v>
      </c>
      <c r="H61" s="116">
        <f t="shared" si="9"/>
        <v>551.45299999999997</v>
      </c>
    </row>
    <row r="62" spans="1:8" ht="15">
      <c r="A62" s="133" t="s">
        <v>107</v>
      </c>
      <c r="B62" s="136" t="s">
        <v>326</v>
      </c>
      <c r="C62" s="301"/>
      <c r="D62" s="137" t="s">
        <v>63</v>
      </c>
      <c r="E62" s="132" t="s">
        <v>327</v>
      </c>
      <c r="F62" s="116">
        <v>4709</v>
      </c>
      <c r="G62" s="116">
        <v>4676.5878000000002</v>
      </c>
      <c r="H62" s="116">
        <f t="shared" si="9"/>
        <v>32.412199999999757</v>
      </c>
    </row>
    <row r="63" spans="1:8" ht="30">
      <c r="A63" s="133" t="s">
        <v>108</v>
      </c>
      <c r="B63" s="139" t="s">
        <v>109</v>
      </c>
      <c r="C63" s="301"/>
      <c r="D63" s="135" t="s">
        <v>63</v>
      </c>
      <c r="E63" s="132" t="s">
        <v>328</v>
      </c>
      <c r="F63" s="116">
        <v>1460</v>
      </c>
      <c r="G63" s="116">
        <v>277.42099999999999</v>
      </c>
      <c r="H63" s="116">
        <f t="shared" si="9"/>
        <v>1182.579</v>
      </c>
    </row>
    <row r="64" spans="1:8" ht="30">
      <c r="A64" s="133" t="s">
        <v>110</v>
      </c>
      <c r="B64" s="134" t="s">
        <v>54</v>
      </c>
      <c r="C64" s="301"/>
      <c r="D64" s="135" t="s">
        <v>63</v>
      </c>
      <c r="E64" s="132" t="s">
        <v>329</v>
      </c>
      <c r="F64" s="116">
        <v>2240</v>
      </c>
      <c r="G64" s="116">
        <v>1250.21</v>
      </c>
      <c r="H64" s="165">
        <f>F64-G64</f>
        <v>989.79</v>
      </c>
    </row>
    <row r="65" spans="1:8" ht="30">
      <c r="A65" s="133" t="s">
        <v>111</v>
      </c>
      <c r="B65" s="136" t="s">
        <v>330</v>
      </c>
      <c r="C65" s="301"/>
      <c r="D65" s="137" t="s">
        <v>63</v>
      </c>
      <c r="E65" s="132" t="s">
        <v>331</v>
      </c>
      <c r="F65" s="116">
        <v>1100</v>
      </c>
      <c r="G65" s="116">
        <v>697.428</v>
      </c>
      <c r="H65" s="116">
        <f t="shared" si="9"/>
        <v>402.572</v>
      </c>
    </row>
    <row r="66" spans="1:8" ht="30">
      <c r="A66" s="133" t="s">
        <v>112</v>
      </c>
      <c r="B66" s="136" t="s">
        <v>332</v>
      </c>
      <c r="C66" s="300"/>
      <c r="D66" s="137" t="s">
        <v>63</v>
      </c>
      <c r="E66" s="140" t="s">
        <v>333</v>
      </c>
      <c r="F66" s="116">
        <v>8876</v>
      </c>
      <c r="G66" s="116">
        <v>7755.93</v>
      </c>
      <c r="H66" s="116">
        <f t="shared" si="9"/>
        <v>1120.0699999999997</v>
      </c>
    </row>
    <row r="67" spans="1:8" ht="60">
      <c r="A67" s="133" t="s">
        <v>114</v>
      </c>
      <c r="B67" s="141" t="s">
        <v>335</v>
      </c>
      <c r="C67" s="150" t="s">
        <v>334</v>
      </c>
      <c r="D67" s="122" t="s">
        <v>113</v>
      </c>
      <c r="E67" s="114" t="s">
        <v>336</v>
      </c>
      <c r="F67" s="116">
        <v>400</v>
      </c>
      <c r="G67" s="116">
        <v>395.988</v>
      </c>
      <c r="H67" s="116">
        <f t="shared" si="9"/>
        <v>4.0120000000000005</v>
      </c>
    </row>
    <row r="68" spans="1:8" ht="15">
      <c r="A68" s="133" t="s">
        <v>337</v>
      </c>
      <c r="B68" s="141" t="s">
        <v>338</v>
      </c>
      <c r="C68" s="299" t="s">
        <v>339</v>
      </c>
      <c r="D68" s="122" t="s">
        <v>113</v>
      </c>
      <c r="E68" s="114" t="s">
        <v>340</v>
      </c>
      <c r="F68" s="116">
        <v>495</v>
      </c>
      <c r="G68" s="88">
        <v>456.18200000000002</v>
      </c>
      <c r="H68" s="116">
        <f t="shared" si="9"/>
        <v>38.817999999999984</v>
      </c>
    </row>
    <row r="69" spans="1:8" ht="30">
      <c r="A69" s="133" t="s">
        <v>341</v>
      </c>
      <c r="B69" s="141" t="s">
        <v>342</v>
      </c>
      <c r="C69" s="300"/>
      <c r="D69" s="122" t="s">
        <v>113</v>
      </c>
      <c r="E69" s="114" t="s">
        <v>343</v>
      </c>
      <c r="F69" s="116">
        <v>600</v>
      </c>
      <c r="G69" s="88">
        <v>579.70600000000002</v>
      </c>
      <c r="H69" s="116">
        <f t="shared" si="9"/>
        <v>20.293999999999983</v>
      </c>
    </row>
    <row r="70" spans="1:8" ht="30">
      <c r="A70" s="133" t="s">
        <v>344</v>
      </c>
      <c r="B70" s="141" t="s">
        <v>345</v>
      </c>
      <c r="C70" s="299" t="s">
        <v>346</v>
      </c>
      <c r="D70" s="135" t="s">
        <v>115</v>
      </c>
      <c r="E70" s="132" t="s">
        <v>347</v>
      </c>
      <c r="F70" s="116">
        <v>180</v>
      </c>
      <c r="G70" s="116">
        <v>177.01</v>
      </c>
      <c r="H70" s="116">
        <f t="shared" si="9"/>
        <v>2.9900000000000091</v>
      </c>
    </row>
    <row r="71" spans="1:8" ht="29.25" customHeight="1">
      <c r="A71" s="133" t="s">
        <v>348</v>
      </c>
      <c r="B71" s="141" t="s">
        <v>349</v>
      </c>
      <c r="C71" s="301"/>
      <c r="D71" s="135" t="s">
        <v>115</v>
      </c>
      <c r="E71" s="132" t="s">
        <v>350</v>
      </c>
      <c r="F71" s="116">
        <v>620</v>
      </c>
      <c r="G71" s="116">
        <v>619.31799999999998</v>
      </c>
      <c r="H71" s="116">
        <f t="shared" si="9"/>
        <v>0.68200000000001637</v>
      </c>
    </row>
    <row r="72" spans="1:8" ht="30">
      <c r="A72" s="133" t="s">
        <v>351</v>
      </c>
      <c r="B72" s="141" t="s">
        <v>352</v>
      </c>
      <c r="C72" s="300"/>
      <c r="D72" s="135" t="s">
        <v>115</v>
      </c>
      <c r="E72" s="132" t="s">
        <v>353</v>
      </c>
      <c r="F72" s="116">
        <v>800</v>
      </c>
      <c r="G72" s="116">
        <v>799.18799999999999</v>
      </c>
      <c r="H72" s="116">
        <f t="shared" si="9"/>
        <v>0.81200000000001182</v>
      </c>
    </row>
    <row r="73" spans="1:8" ht="60">
      <c r="A73" s="133" t="s">
        <v>354</v>
      </c>
      <c r="B73" s="134" t="s">
        <v>61</v>
      </c>
      <c r="C73" s="122" t="s">
        <v>355</v>
      </c>
      <c r="D73" s="122" t="s">
        <v>116</v>
      </c>
      <c r="E73" s="132" t="s">
        <v>356</v>
      </c>
      <c r="F73" s="116">
        <v>1072</v>
      </c>
      <c r="G73" s="121">
        <v>1033.4525000000001</v>
      </c>
      <c r="H73" s="116">
        <f t="shared" si="9"/>
        <v>38.5474999999999</v>
      </c>
    </row>
    <row r="74" spans="1:8" ht="60">
      <c r="A74" s="133" t="s">
        <v>357</v>
      </c>
      <c r="B74" s="142" t="s">
        <v>358</v>
      </c>
      <c r="C74" s="150" t="s">
        <v>117</v>
      </c>
      <c r="D74" s="137" t="s">
        <v>118</v>
      </c>
      <c r="E74" s="140" t="s">
        <v>359</v>
      </c>
      <c r="F74" s="116">
        <v>130</v>
      </c>
      <c r="G74" s="121" t="s">
        <v>215</v>
      </c>
      <c r="H74" s="116">
        <f t="shared" si="9"/>
        <v>130</v>
      </c>
    </row>
    <row r="75" spans="1:8" ht="60">
      <c r="A75" s="133" t="s">
        <v>360</v>
      </c>
      <c r="B75" s="142" t="s">
        <v>361</v>
      </c>
      <c r="C75" s="150" t="s">
        <v>117</v>
      </c>
      <c r="D75" s="137" t="s">
        <v>118</v>
      </c>
      <c r="E75" s="140" t="s">
        <v>362</v>
      </c>
      <c r="F75" s="116">
        <v>500</v>
      </c>
      <c r="G75" s="116"/>
      <c r="H75" s="116">
        <f t="shared" si="9"/>
        <v>500</v>
      </c>
    </row>
    <row r="76" spans="1:8" ht="60">
      <c r="A76" s="133" t="s">
        <v>363</v>
      </c>
      <c r="B76" s="142" t="s">
        <v>364</v>
      </c>
      <c r="C76" s="150" t="s">
        <v>117</v>
      </c>
      <c r="D76" s="137" t="s">
        <v>118</v>
      </c>
      <c r="E76" s="140" t="s">
        <v>365</v>
      </c>
      <c r="F76" s="116">
        <v>800</v>
      </c>
      <c r="G76" s="116"/>
      <c r="H76" s="116">
        <f t="shared" si="9"/>
        <v>800</v>
      </c>
    </row>
    <row r="77" spans="1:8" ht="30">
      <c r="A77" s="133" t="s">
        <v>366</v>
      </c>
      <c r="B77" s="141" t="s">
        <v>367</v>
      </c>
      <c r="C77" s="299" t="s">
        <v>368</v>
      </c>
      <c r="D77" s="143" t="s">
        <v>119</v>
      </c>
      <c r="E77" s="140" t="s">
        <v>369</v>
      </c>
      <c r="F77" s="116">
        <v>600</v>
      </c>
      <c r="G77" s="116"/>
      <c r="H77" s="116">
        <f t="shared" si="9"/>
        <v>600</v>
      </c>
    </row>
    <row r="78" spans="1:8" ht="30">
      <c r="A78" s="133" t="s">
        <v>370</v>
      </c>
      <c r="B78" s="141" t="s">
        <v>371</v>
      </c>
      <c r="C78" s="300"/>
      <c r="D78" s="143" t="s">
        <v>119</v>
      </c>
      <c r="E78" s="140" t="s">
        <v>372</v>
      </c>
      <c r="F78" s="116">
        <v>500</v>
      </c>
      <c r="G78" s="116"/>
      <c r="H78" s="116">
        <f t="shared" si="9"/>
        <v>500</v>
      </c>
    </row>
    <row r="79" spans="1:8" ht="15">
      <c r="A79" s="133" t="s">
        <v>373</v>
      </c>
      <c r="B79" s="141" t="s">
        <v>374</v>
      </c>
      <c r="C79" s="299" t="s">
        <v>375</v>
      </c>
      <c r="D79" s="137" t="s">
        <v>120</v>
      </c>
      <c r="E79" s="140" t="s">
        <v>376</v>
      </c>
      <c r="F79" s="116">
        <v>600</v>
      </c>
      <c r="G79" s="116"/>
      <c r="H79" s="116">
        <f t="shared" si="9"/>
        <v>600</v>
      </c>
    </row>
    <row r="80" spans="1:8" ht="15">
      <c r="A80" s="133" t="s">
        <v>377</v>
      </c>
      <c r="B80" s="141" t="s">
        <v>378</v>
      </c>
      <c r="C80" s="300"/>
      <c r="D80" s="137" t="s">
        <v>120</v>
      </c>
      <c r="E80" s="140" t="s">
        <v>379</v>
      </c>
      <c r="F80" s="116">
        <v>600</v>
      </c>
      <c r="G80" s="116"/>
      <c r="H80" s="116">
        <f t="shared" si="9"/>
        <v>600</v>
      </c>
    </row>
    <row r="81" spans="1:8" ht="60">
      <c r="A81" s="133" t="s">
        <v>380</v>
      </c>
      <c r="B81" s="141" t="s">
        <v>381</v>
      </c>
      <c r="C81" s="122" t="s">
        <v>382</v>
      </c>
      <c r="D81" s="135" t="s">
        <v>121</v>
      </c>
      <c r="E81" s="140" t="s">
        <v>383</v>
      </c>
      <c r="F81" s="116">
        <v>800</v>
      </c>
      <c r="G81" s="116"/>
      <c r="H81" s="116">
        <f t="shared" si="9"/>
        <v>800</v>
      </c>
    </row>
    <row r="82" spans="1:8" ht="45">
      <c r="A82" s="133" t="s">
        <v>384</v>
      </c>
      <c r="B82" s="141" t="s">
        <v>385</v>
      </c>
      <c r="C82" s="122" t="s">
        <v>134</v>
      </c>
      <c r="D82" s="135" t="s">
        <v>121</v>
      </c>
      <c r="E82" s="132" t="s">
        <v>386</v>
      </c>
      <c r="F82" s="116">
        <v>800</v>
      </c>
      <c r="G82" s="116">
        <f>741.385</f>
        <v>741.38499999999999</v>
      </c>
      <c r="H82" s="116">
        <f t="shared" si="9"/>
        <v>58.615000000000009</v>
      </c>
    </row>
    <row r="83" spans="1:8" ht="60">
      <c r="A83" s="133" t="s">
        <v>388</v>
      </c>
      <c r="B83" s="141" t="s">
        <v>389</v>
      </c>
      <c r="C83" s="150" t="s">
        <v>387</v>
      </c>
      <c r="D83" s="135" t="s">
        <v>122</v>
      </c>
      <c r="E83" s="132" t="s">
        <v>390</v>
      </c>
      <c r="F83" s="116">
        <v>140</v>
      </c>
      <c r="G83" s="121" t="s">
        <v>215</v>
      </c>
      <c r="H83" s="116">
        <f t="shared" si="9"/>
        <v>140</v>
      </c>
    </row>
    <row r="84" spans="1:8" ht="60">
      <c r="A84" s="133" t="s">
        <v>391</v>
      </c>
      <c r="B84" s="141" t="s">
        <v>392</v>
      </c>
      <c r="C84" s="150" t="s">
        <v>387</v>
      </c>
      <c r="D84" s="135" t="s">
        <v>122</v>
      </c>
      <c r="E84" s="132" t="s">
        <v>393</v>
      </c>
      <c r="F84" s="116">
        <v>535</v>
      </c>
      <c r="G84" s="116"/>
      <c r="H84" s="116">
        <f t="shared" si="9"/>
        <v>535</v>
      </c>
    </row>
    <row r="85" spans="1:8" ht="30">
      <c r="A85" s="133" t="s">
        <v>394</v>
      </c>
      <c r="B85" s="141" t="s">
        <v>395</v>
      </c>
      <c r="C85" s="299" t="s">
        <v>396</v>
      </c>
      <c r="D85" s="135" t="s">
        <v>123</v>
      </c>
      <c r="E85" s="132" t="s">
        <v>397</v>
      </c>
      <c r="F85" s="116">
        <v>600</v>
      </c>
      <c r="G85" s="116">
        <v>598.29999999999995</v>
      </c>
      <c r="H85" s="116">
        <f t="shared" si="9"/>
        <v>1.7000000000000455</v>
      </c>
    </row>
    <row r="86" spans="1:8" ht="30">
      <c r="A86" s="133" t="s">
        <v>398</v>
      </c>
      <c r="B86" s="141" t="s">
        <v>399</v>
      </c>
      <c r="C86" s="300"/>
      <c r="D86" s="135" t="s">
        <v>123</v>
      </c>
      <c r="E86" s="132" t="s">
        <v>400</v>
      </c>
      <c r="F86" s="116">
        <v>550</v>
      </c>
      <c r="G86" s="116">
        <v>548.15499999999997</v>
      </c>
      <c r="H86" s="116">
        <f t="shared" si="9"/>
        <v>1.8450000000000273</v>
      </c>
    </row>
    <row r="87" spans="1:8" ht="45">
      <c r="A87" s="144" t="s">
        <v>401</v>
      </c>
      <c r="B87" s="145" t="s">
        <v>402</v>
      </c>
      <c r="C87" s="146" t="s">
        <v>133</v>
      </c>
      <c r="D87" s="146" t="s">
        <v>124</v>
      </c>
      <c r="E87" s="147" t="s">
        <v>403</v>
      </c>
      <c r="F87" s="148">
        <v>1150</v>
      </c>
      <c r="G87" s="116">
        <v>1114.9390000000001</v>
      </c>
      <c r="H87" s="116">
        <f t="shared" si="9"/>
        <v>35.060999999999922</v>
      </c>
    </row>
    <row r="88" spans="1:8" ht="30" customHeight="1">
      <c r="A88" s="133" t="s">
        <v>404</v>
      </c>
      <c r="B88" s="141" t="s">
        <v>405</v>
      </c>
      <c r="C88" s="150" t="s">
        <v>406</v>
      </c>
      <c r="D88" s="122" t="s">
        <v>125</v>
      </c>
      <c r="E88" s="147" t="s">
        <v>407</v>
      </c>
      <c r="F88" s="116">
        <v>300</v>
      </c>
      <c r="G88" s="121"/>
      <c r="H88" s="116">
        <f t="shared" si="9"/>
        <v>300</v>
      </c>
    </row>
    <row r="89" spans="1:8" ht="60">
      <c r="A89" s="133" t="s">
        <v>408</v>
      </c>
      <c r="B89" s="141" t="s">
        <v>409</v>
      </c>
      <c r="C89" s="150" t="s">
        <v>406</v>
      </c>
      <c r="D89" s="122" t="s">
        <v>125</v>
      </c>
      <c r="E89" s="147" t="s">
        <v>410</v>
      </c>
      <c r="F89" s="116">
        <v>600</v>
      </c>
      <c r="G89" s="121"/>
      <c r="H89" s="116">
        <f t="shared" si="9"/>
        <v>600</v>
      </c>
    </row>
    <row r="90" spans="1:8" ht="28.5">
      <c r="A90" s="109" t="s">
        <v>13</v>
      </c>
      <c r="B90" s="110" t="s">
        <v>31</v>
      </c>
      <c r="C90" s="110"/>
      <c r="D90" s="110"/>
      <c r="E90" s="110"/>
      <c r="F90" s="111">
        <f t="shared" ref="F90" si="10">F91</f>
        <v>16134</v>
      </c>
      <c r="G90" s="111">
        <f>G91</f>
        <v>7413.4315000000006</v>
      </c>
      <c r="H90" s="111">
        <f>H91</f>
        <v>8720.5684999999994</v>
      </c>
    </row>
    <row r="91" spans="1:8" ht="28.5" hidden="1">
      <c r="A91" s="112">
        <v>1</v>
      </c>
      <c r="B91" s="107" t="s">
        <v>411</v>
      </c>
      <c r="C91" s="107"/>
      <c r="D91" s="107"/>
      <c r="E91" s="107"/>
      <c r="F91" s="108">
        <f>SUM(F92:F111)</f>
        <v>16134</v>
      </c>
      <c r="G91" s="108">
        <f>SUM(G92:G111)</f>
        <v>7413.4315000000006</v>
      </c>
      <c r="H91" s="108">
        <f>SUM(H92:H111)</f>
        <v>8720.5684999999994</v>
      </c>
    </row>
    <row r="92" spans="1:8" ht="30">
      <c r="A92" s="137">
        <v>1</v>
      </c>
      <c r="B92" s="141" t="s">
        <v>412</v>
      </c>
      <c r="C92" s="299" t="s">
        <v>334</v>
      </c>
      <c r="D92" s="122" t="s">
        <v>113</v>
      </c>
      <c r="E92" s="114" t="s">
        <v>413</v>
      </c>
      <c r="F92" s="116">
        <v>1110</v>
      </c>
      <c r="G92" s="116">
        <v>1107.498</v>
      </c>
      <c r="H92" s="116">
        <f t="shared" ref="H92:H111" si="11">F92-G92</f>
        <v>2.5019999999999527</v>
      </c>
    </row>
    <row r="93" spans="1:8" ht="30">
      <c r="A93" s="137">
        <v>2</v>
      </c>
      <c r="B93" s="141" t="s">
        <v>414</v>
      </c>
      <c r="C93" s="300"/>
      <c r="D93" s="122" t="s">
        <v>113</v>
      </c>
      <c r="E93" s="114" t="s">
        <v>415</v>
      </c>
      <c r="F93" s="116">
        <v>600</v>
      </c>
      <c r="G93" s="116">
        <v>598.60500000000002</v>
      </c>
      <c r="H93" s="116">
        <f t="shared" si="11"/>
        <v>1.3949999999999818</v>
      </c>
    </row>
    <row r="94" spans="1:8" ht="60">
      <c r="A94" s="137">
        <v>3</v>
      </c>
      <c r="B94" s="141" t="s">
        <v>416</v>
      </c>
      <c r="C94" s="122" t="s">
        <v>346</v>
      </c>
      <c r="D94" s="122" t="s">
        <v>115</v>
      </c>
      <c r="E94" s="114" t="s">
        <v>417</v>
      </c>
      <c r="F94" s="116">
        <v>1150</v>
      </c>
      <c r="G94" s="124">
        <v>1143.4549999999999</v>
      </c>
      <c r="H94" s="116">
        <f t="shared" si="11"/>
        <v>6.5450000000000728</v>
      </c>
    </row>
    <row r="95" spans="1:8" ht="45">
      <c r="A95" s="137">
        <v>4</v>
      </c>
      <c r="B95" s="141" t="s">
        <v>418</v>
      </c>
      <c r="C95" s="122" t="s">
        <v>419</v>
      </c>
      <c r="D95" s="122" t="s">
        <v>115</v>
      </c>
      <c r="E95" s="114" t="s">
        <v>420</v>
      </c>
      <c r="F95" s="116">
        <v>250</v>
      </c>
      <c r="G95" s="116">
        <v>233.76400000000001</v>
      </c>
      <c r="H95" s="116">
        <f t="shared" si="11"/>
        <v>16.23599999999999</v>
      </c>
    </row>
    <row r="96" spans="1:8" ht="60">
      <c r="A96" s="137">
        <v>5</v>
      </c>
      <c r="B96" s="141" t="s">
        <v>421</v>
      </c>
      <c r="C96" s="122" t="s">
        <v>346</v>
      </c>
      <c r="D96" s="122" t="s">
        <v>115</v>
      </c>
      <c r="E96" s="114" t="s">
        <v>422</v>
      </c>
      <c r="F96" s="116">
        <v>306</v>
      </c>
      <c r="G96" s="116">
        <v>304.59699999999998</v>
      </c>
      <c r="H96" s="116">
        <f t="shared" si="11"/>
        <v>1.40300000000002</v>
      </c>
    </row>
    <row r="97" spans="1:8" ht="30" customHeight="1">
      <c r="A97" s="137">
        <v>6</v>
      </c>
      <c r="B97" s="141" t="s">
        <v>423</v>
      </c>
      <c r="C97" s="150" t="s">
        <v>355</v>
      </c>
      <c r="D97" s="122" t="s">
        <v>424</v>
      </c>
      <c r="E97" s="114" t="s">
        <v>425</v>
      </c>
      <c r="F97" s="116">
        <v>970</v>
      </c>
      <c r="G97" s="116">
        <v>966.40150000000006</v>
      </c>
      <c r="H97" s="116">
        <f t="shared" si="11"/>
        <v>3.5984999999999445</v>
      </c>
    </row>
    <row r="98" spans="1:8" ht="60">
      <c r="A98" s="137">
        <v>8</v>
      </c>
      <c r="B98" s="141" t="s">
        <v>426</v>
      </c>
      <c r="C98" s="150" t="s">
        <v>355</v>
      </c>
      <c r="D98" s="122" t="s">
        <v>424</v>
      </c>
      <c r="E98" s="114" t="s">
        <v>427</v>
      </c>
      <c r="F98" s="116">
        <v>706</v>
      </c>
      <c r="G98" s="116">
        <v>703.43200000000002</v>
      </c>
      <c r="H98" s="116">
        <f t="shared" si="11"/>
        <v>2.5679999999999836</v>
      </c>
    </row>
    <row r="99" spans="1:8" ht="15">
      <c r="A99" s="137">
        <v>11</v>
      </c>
      <c r="B99" s="141" t="s">
        <v>428</v>
      </c>
      <c r="C99" s="299" t="s">
        <v>368</v>
      </c>
      <c r="D99" s="122" t="s">
        <v>119</v>
      </c>
      <c r="E99" s="114" t="s">
        <v>429</v>
      </c>
      <c r="F99" s="116">
        <v>906</v>
      </c>
      <c r="G99" s="121"/>
      <c r="H99" s="116">
        <f t="shared" si="11"/>
        <v>906</v>
      </c>
    </row>
    <row r="100" spans="1:8" ht="30">
      <c r="A100" s="137">
        <v>12</v>
      </c>
      <c r="B100" s="141" t="s">
        <v>430</v>
      </c>
      <c r="C100" s="300"/>
      <c r="D100" s="122" t="s">
        <v>119</v>
      </c>
      <c r="E100" s="114" t="s">
        <v>431</v>
      </c>
      <c r="F100" s="116">
        <v>800</v>
      </c>
      <c r="G100" s="116"/>
      <c r="H100" s="116">
        <f t="shared" si="11"/>
        <v>800</v>
      </c>
    </row>
    <row r="101" spans="1:8" ht="15">
      <c r="A101" s="137">
        <v>13</v>
      </c>
      <c r="B101" s="141" t="s">
        <v>432</v>
      </c>
      <c r="C101" s="299" t="s">
        <v>375</v>
      </c>
      <c r="D101" s="122" t="s">
        <v>120</v>
      </c>
      <c r="E101" s="114" t="s">
        <v>433</v>
      </c>
      <c r="F101" s="116">
        <v>1256</v>
      </c>
      <c r="G101" s="121" t="s">
        <v>215</v>
      </c>
      <c r="H101" s="116">
        <f t="shared" si="11"/>
        <v>1256</v>
      </c>
    </row>
    <row r="102" spans="1:8" ht="15">
      <c r="A102" s="137">
        <v>14</v>
      </c>
      <c r="B102" s="141" t="s">
        <v>434</v>
      </c>
      <c r="C102" s="300"/>
      <c r="D102" s="122" t="s">
        <v>120</v>
      </c>
      <c r="E102" s="114" t="s">
        <v>435</v>
      </c>
      <c r="F102" s="116">
        <v>450</v>
      </c>
      <c r="G102" s="121" t="s">
        <v>215</v>
      </c>
      <c r="H102" s="116">
        <f t="shared" si="11"/>
        <v>450</v>
      </c>
    </row>
    <row r="103" spans="1:8" ht="30">
      <c r="A103" s="137">
        <v>15</v>
      </c>
      <c r="B103" s="141" t="s">
        <v>436</v>
      </c>
      <c r="C103" s="299" t="s">
        <v>382</v>
      </c>
      <c r="D103" s="122" t="s">
        <v>121</v>
      </c>
      <c r="E103" s="114" t="s">
        <v>437</v>
      </c>
      <c r="F103" s="116">
        <v>900</v>
      </c>
      <c r="G103" s="121"/>
      <c r="H103" s="116">
        <f t="shared" si="11"/>
        <v>900</v>
      </c>
    </row>
    <row r="104" spans="1:8" ht="30">
      <c r="A104" s="137">
        <v>16</v>
      </c>
      <c r="B104" s="141" t="s">
        <v>438</v>
      </c>
      <c r="C104" s="300"/>
      <c r="D104" s="122" t="s">
        <v>121</v>
      </c>
      <c r="E104" s="114" t="s">
        <v>439</v>
      </c>
      <c r="F104" s="116">
        <v>806</v>
      </c>
      <c r="G104" s="116"/>
      <c r="H104" s="116">
        <f t="shared" si="11"/>
        <v>806</v>
      </c>
    </row>
    <row r="105" spans="1:8" ht="30">
      <c r="A105" s="137">
        <v>17</v>
      </c>
      <c r="B105" s="141" t="s">
        <v>440</v>
      </c>
      <c r="C105" s="299" t="s">
        <v>441</v>
      </c>
      <c r="D105" s="122" t="s">
        <v>122</v>
      </c>
      <c r="E105" s="114" t="s">
        <v>442</v>
      </c>
      <c r="F105" s="116">
        <v>1046</v>
      </c>
      <c r="G105" s="116"/>
      <c r="H105" s="116">
        <f t="shared" si="11"/>
        <v>1046</v>
      </c>
    </row>
    <row r="106" spans="1:8" ht="30">
      <c r="A106" s="137">
        <v>18</v>
      </c>
      <c r="B106" s="141" t="s">
        <v>443</v>
      </c>
      <c r="C106" s="300"/>
      <c r="D106" s="122" t="s">
        <v>122</v>
      </c>
      <c r="E106" s="114" t="s">
        <v>444</v>
      </c>
      <c r="F106" s="116">
        <v>660</v>
      </c>
      <c r="G106" s="116"/>
      <c r="H106" s="116">
        <f t="shared" si="11"/>
        <v>660</v>
      </c>
    </row>
    <row r="107" spans="1:8" ht="30">
      <c r="A107" s="137">
        <v>19</v>
      </c>
      <c r="B107" s="141" t="s">
        <v>445</v>
      </c>
      <c r="C107" s="299" t="s">
        <v>396</v>
      </c>
      <c r="D107" s="122" t="s">
        <v>123</v>
      </c>
      <c r="E107" s="114" t="s">
        <v>446</v>
      </c>
      <c r="F107" s="116">
        <v>1106</v>
      </c>
      <c r="G107" s="121">
        <v>1103.1500000000001</v>
      </c>
      <c r="H107" s="116">
        <f t="shared" si="11"/>
        <v>2.8499999999999091</v>
      </c>
    </row>
    <row r="108" spans="1:8" ht="15">
      <c r="A108" s="137">
        <v>20</v>
      </c>
      <c r="B108" s="141" t="s">
        <v>447</v>
      </c>
      <c r="C108" s="300"/>
      <c r="D108" s="122" t="s">
        <v>123</v>
      </c>
      <c r="E108" s="114" t="s">
        <v>448</v>
      </c>
      <c r="F108" s="116">
        <v>600</v>
      </c>
      <c r="G108" s="116"/>
      <c r="H108" s="116">
        <f t="shared" si="11"/>
        <v>600</v>
      </c>
    </row>
    <row r="109" spans="1:8" ht="15">
      <c r="A109" s="149">
        <v>21</v>
      </c>
      <c r="B109" s="145" t="s">
        <v>449</v>
      </c>
      <c r="C109" s="335" t="s">
        <v>450</v>
      </c>
      <c r="D109" s="146" t="s">
        <v>124</v>
      </c>
      <c r="E109" s="147" t="s">
        <v>451</v>
      </c>
      <c r="F109" s="148">
        <v>1266</v>
      </c>
      <c r="G109" s="148">
        <v>1252.529</v>
      </c>
      <c r="H109" s="116">
        <f t="shared" si="11"/>
        <v>13.471000000000004</v>
      </c>
    </row>
    <row r="110" spans="1:8" ht="30">
      <c r="A110" s="149">
        <v>22</v>
      </c>
      <c r="B110" s="145" t="s">
        <v>452</v>
      </c>
      <c r="C110" s="336"/>
      <c r="D110" s="146" t="s">
        <v>124</v>
      </c>
      <c r="E110" s="147" t="s">
        <v>453</v>
      </c>
      <c r="F110" s="148">
        <v>440</v>
      </c>
      <c r="G110" s="148"/>
      <c r="H110" s="116">
        <f t="shared" si="11"/>
        <v>440</v>
      </c>
    </row>
    <row r="111" spans="1:8" ht="30">
      <c r="A111" s="137">
        <v>24</v>
      </c>
      <c r="B111" s="141" t="s">
        <v>454</v>
      </c>
      <c r="C111" s="152"/>
      <c r="D111" s="122" t="s">
        <v>125</v>
      </c>
      <c r="E111" s="114" t="s">
        <v>455</v>
      </c>
      <c r="F111" s="116">
        <v>806</v>
      </c>
      <c r="G111" s="121"/>
      <c r="H111" s="116">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1" customWidth="1"/>
    <col min="2" max="2" width="36.1640625" style="21" customWidth="1"/>
    <col min="3" max="3" width="15.1640625" style="21" customWidth="1"/>
    <col min="4" max="6" width="15" style="21" customWidth="1"/>
    <col min="7" max="16384" width="9.33203125" style="21"/>
  </cols>
  <sheetData>
    <row r="4" spans="1:6" ht="12.75" customHeight="1">
      <c r="A4" s="349" t="s">
        <v>0</v>
      </c>
      <c r="B4" s="349" t="s">
        <v>132</v>
      </c>
      <c r="C4" s="350" t="s">
        <v>71</v>
      </c>
      <c r="D4" s="271" t="s">
        <v>204</v>
      </c>
      <c r="E4" s="272" t="s">
        <v>460</v>
      </c>
      <c r="F4" s="341" t="s">
        <v>461</v>
      </c>
    </row>
    <row r="5" spans="1:6" ht="25.5">
      <c r="A5" s="349"/>
      <c r="B5" s="349"/>
      <c r="C5" s="351"/>
      <c r="D5" s="179" t="s">
        <v>128</v>
      </c>
      <c r="E5" s="180" t="s">
        <v>126</v>
      </c>
      <c r="F5" s="342"/>
    </row>
    <row r="6" spans="1:6">
      <c r="A6" s="181"/>
      <c r="B6" s="181" t="s">
        <v>7</v>
      </c>
      <c r="C6" s="181"/>
      <c r="D6" s="182">
        <f>D7+D33+D41</f>
        <v>22557.893</v>
      </c>
      <c r="E6" s="183">
        <f>E7+E33+E41</f>
        <v>10179.596229999999</v>
      </c>
      <c r="F6" s="183">
        <f>F7+F33+F41</f>
        <v>12378.296770000001</v>
      </c>
    </row>
    <row r="7" spans="1:6" ht="25.5">
      <c r="A7" s="184" t="s">
        <v>129</v>
      </c>
      <c r="B7" s="184" t="s">
        <v>462</v>
      </c>
      <c r="C7" s="184"/>
      <c r="D7" s="185">
        <f t="shared" ref="D7:F7" si="0">D8+D11+D23+D25+D29</f>
        <v>7573</v>
      </c>
      <c r="E7" s="185">
        <f t="shared" si="0"/>
        <v>3100.8510000000001</v>
      </c>
      <c r="F7" s="185">
        <f t="shared" si="0"/>
        <v>4472.1490000000003</v>
      </c>
    </row>
    <row r="8" spans="1:6" ht="25.5">
      <c r="A8" s="186" t="s">
        <v>3</v>
      </c>
      <c r="B8" s="187" t="s">
        <v>463</v>
      </c>
      <c r="C8" s="188"/>
      <c r="D8" s="189">
        <f t="shared" ref="D8" si="1">SUM(D9:D10)</f>
        <v>1934</v>
      </c>
      <c r="E8" s="190">
        <f>SUM(E9:E10)</f>
        <v>1908.7339999999999</v>
      </c>
      <c r="F8" s="190">
        <f>SUM(F9:F10)</f>
        <v>25.266000000000076</v>
      </c>
    </row>
    <row r="9" spans="1:6" ht="38.25">
      <c r="A9" s="191">
        <v>1</v>
      </c>
      <c r="B9" s="192" t="s">
        <v>464</v>
      </c>
      <c r="C9" s="193" t="s">
        <v>48</v>
      </c>
      <c r="D9" s="194">
        <v>934</v>
      </c>
      <c r="E9" s="195">
        <v>908.93</v>
      </c>
      <c r="F9" s="196">
        <f>D9-E9</f>
        <v>25.07000000000005</v>
      </c>
    </row>
    <row r="10" spans="1:6" ht="25.5">
      <c r="A10" s="191">
        <v>2</v>
      </c>
      <c r="B10" s="197" t="s">
        <v>465</v>
      </c>
      <c r="C10" s="198" t="s">
        <v>118</v>
      </c>
      <c r="D10" s="194">
        <v>1000</v>
      </c>
      <c r="E10" s="199">
        <v>999.80399999999997</v>
      </c>
      <c r="F10" s="196">
        <f>D10-E10</f>
        <v>0.19600000000002638</v>
      </c>
    </row>
    <row r="11" spans="1:6" ht="25.5">
      <c r="A11" s="200" t="s">
        <v>5</v>
      </c>
      <c r="B11" s="201" t="s">
        <v>199</v>
      </c>
      <c r="C11" s="202"/>
      <c r="D11" s="203">
        <f>SUM(D12:D22)</f>
        <v>2315</v>
      </c>
      <c r="E11" s="204">
        <f>SUM(E12:E22)</f>
        <v>440.82799999999997</v>
      </c>
      <c r="F11" s="204">
        <f t="shared" ref="F11" si="2">SUM(F12:F22)</f>
        <v>1874.172</v>
      </c>
    </row>
    <row r="12" spans="1:6">
      <c r="A12" s="205">
        <v>1</v>
      </c>
      <c r="B12" s="206" t="s">
        <v>42</v>
      </c>
      <c r="C12" s="207" t="s">
        <v>42</v>
      </c>
      <c r="D12" s="194">
        <v>200</v>
      </c>
      <c r="E12" s="208"/>
      <c r="F12" s="196">
        <f t="shared" ref="F12:F22" si="3">D12-E12</f>
        <v>200</v>
      </c>
    </row>
    <row r="13" spans="1:6">
      <c r="A13" s="209">
        <v>2</v>
      </c>
      <c r="B13" s="210" t="s">
        <v>43</v>
      </c>
      <c r="C13" s="211" t="s">
        <v>43</v>
      </c>
      <c r="D13" s="212">
        <v>215</v>
      </c>
      <c r="E13" s="213">
        <v>147.80000000000001</v>
      </c>
      <c r="F13" s="214">
        <f t="shared" si="3"/>
        <v>67.199999999999989</v>
      </c>
    </row>
    <row r="14" spans="1:6">
      <c r="A14" s="209">
        <v>3</v>
      </c>
      <c r="B14" s="210" t="s">
        <v>44</v>
      </c>
      <c r="C14" s="211" t="s">
        <v>44</v>
      </c>
      <c r="D14" s="212">
        <v>200</v>
      </c>
      <c r="E14" s="215">
        <v>148.02799999999999</v>
      </c>
      <c r="F14" s="214">
        <f t="shared" si="3"/>
        <v>51.972000000000008</v>
      </c>
    </row>
    <row r="15" spans="1:6">
      <c r="A15" s="209">
        <v>4</v>
      </c>
      <c r="B15" s="210" t="s">
        <v>52</v>
      </c>
      <c r="C15" s="211" t="s">
        <v>52</v>
      </c>
      <c r="D15" s="212">
        <v>200</v>
      </c>
      <c r="E15" s="213">
        <v>145</v>
      </c>
      <c r="F15" s="214">
        <f t="shared" si="3"/>
        <v>55</v>
      </c>
    </row>
    <row r="16" spans="1:6">
      <c r="A16" s="209">
        <v>5</v>
      </c>
      <c r="B16" s="210" t="s">
        <v>51</v>
      </c>
      <c r="C16" s="211" t="s">
        <v>51</v>
      </c>
      <c r="D16" s="212">
        <v>215</v>
      </c>
      <c r="E16" s="213"/>
      <c r="F16" s="214">
        <f t="shared" si="3"/>
        <v>215</v>
      </c>
    </row>
    <row r="17" spans="1:6">
      <c r="A17" s="209">
        <v>6</v>
      </c>
      <c r="B17" s="210" t="s">
        <v>45</v>
      </c>
      <c r="C17" s="211" t="s">
        <v>45</v>
      </c>
      <c r="D17" s="212">
        <v>200</v>
      </c>
      <c r="E17" s="213"/>
      <c r="F17" s="214">
        <f t="shared" si="3"/>
        <v>200</v>
      </c>
    </row>
    <row r="18" spans="1:6">
      <c r="A18" s="209">
        <v>7</v>
      </c>
      <c r="B18" s="210" t="s">
        <v>46</v>
      </c>
      <c r="C18" s="211" t="s">
        <v>46</v>
      </c>
      <c r="D18" s="212">
        <v>215</v>
      </c>
      <c r="E18" s="213"/>
      <c r="F18" s="214">
        <f t="shared" si="3"/>
        <v>215</v>
      </c>
    </row>
    <row r="19" spans="1:6">
      <c r="A19" s="209">
        <v>8</v>
      </c>
      <c r="B19" s="210" t="s">
        <v>47</v>
      </c>
      <c r="C19" s="211" t="s">
        <v>47</v>
      </c>
      <c r="D19" s="212">
        <v>255</v>
      </c>
      <c r="E19" s="213"/>
      <c r="F19" s="214">
        <f t="shared" si="3"/>
        <v>255</v>
      </c>
    </row>
    <row r="20" spans="1:6">
      <c r="A20" s="209">
        <v>9</v>
      </c>
      <c r="B20" s="210" t="s">
        <v>48</v>
      </c>
      <c r="C20" s="211" t="s">
        <v>48</v>
      </c>
      <c r="D20" s="212">
        <v>215</v>
      </c>
      <c r="E20" s="213"/>
      <c r="F20" s="214">
        <f t="shared" si="3"/>
        <v>215</v>
      </c>
    </row>
    <row r="21" spans="1:6">
      <c r="A21" s="209">
        <v>10</v>
      </c>
      <c r="B21" s="210" t="s">
        <v>49</v>
      </c>
      <c r="C21" s="211" t="s">
        <v>49</v>
      </c>
      <c r="D21" s="212">
        <v>200</v>
      </c>
      <c r="E21" s="213"/>
      <c r="F21" s="214">
        <f t="shared" si="3"/>
        <v>200</v>
      </c>
    </row>
    <row r="22" spans="1:6">
      <c r="A22" s="209">
        <v>11</v>
      </c>
      <c r="B22" s="210" t="s">
        <v>50</v>
      </c>
      <c r="C22" s="211" t="s">
        <v>50</v>
      </c>
      <c r="D22" s="212">
        <v>200</v>
      </c>
      <c r="E22" s="213"/>
      <c r="F22" s="214">
        <f t="shared" si="3"/>
        <v>200</v>
      </c>
    </row>
    <row r="23" spans="1:6" ht="25.5">
      <c r="A23" s="216" t="s">
        <v>13</v>
      </c>
      <c r="B23" s="217" t="s">
        <v>466</v>
      </c>
      <c r="C23" s="218"/>
      <c r="D23" s="219">
        <f>D24</f>
        <v>981</v>
      </c>
      <c r="E23" s="220" t="str">
        <f>E24</f>
        <v>0</v>
      </c>
      <c r="F23" s="221">
        <f>F24</f>
        <v>981</v>
      </c>
    </row>
    <row r="24" spans="1:6" ht="38.25">
      <c r="A24" s="222" t="s">
        <v>29</v>
      </c>
      <c r="B24" s="223" t="s">
        <v>200</v>
      </c>
      <c r="C24" s="224" t="s">
        <v>467</v>
      </c>
      <c r="D24" s="212">
        <v>981</v>
      </c>
      <c r="E24" s="215" t="s">
        <v>215</v>
      </c>
      <c r="F24" s="225">
        <f>D24-E24</f>
        <v>981</v>
      </c>
    </row>
    <row r="25" spans="1:6" ht="25.5">
      <c r="A25" s="216" t="s">
        <v>14</v>
      </c>
      <c r="B25" s="217" t="s">
        <v>201</v>
      </c>
      <c r="C25" s="218"/>
      <c r="D25" s="219">
        <f>SUM(D26:D28)</f>
        <v>2141</v>
      </c>
      <c r="E25" s="219">
        <f t="shared" ref="E25" si="4">SUM(E26:E28)</f>
        <v>696.25</v>
      </c>
      <c r="F25" s="219">
        <f>SUM(F26:F28)</f>
        <v>1444.75</v>
      </c>
    </row>
    <row r="26" spans="1:6" ht="25.5">
      <c r="A26" s="209">
        <v>1</v>
      </c>
      <c r="B26" s="226" t="s">
        <v>468</v>
      </c>
      <c r="C26" s="227" t="s">
        <v>469</v>
      </c>
      <c r="D26" s="212">
        <f>956+741</f>
        <v>1697</v>
      </c>
      <c r="E26" s="213">
        <v>691.25</v>
      </c>
      <c r="F26" s="225">
        <f>D26-E26</f>
        <v>1005.75</v>
      </c>
    </row>
    <row r="27" spans="1:6" ht="25.5">
      <c r="A27" s="228">
        <v>2</v>
      </c>
      <c r="B27" s="229" t="s">
        <v>470</v>
      </c>
      <c r="C27" s="345" t="s">
        <v>471</v>
      </c>
      <c r="D27" s="230">
        <v>259</v>
      </c>
      <c r="E27" s="213"/>
      <c r="F27" s="225">
        <f>D27-E27</f>
        <v>259</v>
      </c>
    </row>
    <row r="28" spans="1:6" ht="25.5">
      <c r="A28" s="209">
        <v>3</v>
      </c>
      <c r="B28" s="229" t="s">
        <v>472</v>
      </c>
      <c r="C28" s="346"/>
      <c r="D28" s="212">
        <v>185</v>
      </c>
      <c r="E28" s="213">
        <v>5</v>
      </c>
      <c r="F28" s="225">
        <f>D28-E28</f>
        <v>180</v>
      </c>
    </row>
    <row r="29" spans="1:6" ht="25.5">
      <c r="A29" s="216" t="s">
        <v>16</v>
      </c>
      <c r="B29" s="217" t="s">
        <v>202</v>
      </c>
      <c r="C29" s="218"/>
      <c r="D29" s="219">
        <f>SUM(D30:D32)</f>
        <v>202</v>
      </c>
      <c r="E29" s="220">
        <f>SUM(E30:E32)</f>
        <v>55.038999999999994</v>
      </c>
      <c r="F29" s="220">
        <f>SUM(F30:F32)</f>
        <v>146.96099999999998</v>
      </c>
    </row>
    <row r="30" spans="1:6" ht="25.5">
      <c r="A30" s="228">
        <v>1</v>
      </c>
      <c r="B30" s="229" t="s">
        <v>41</v>
      </c>
      <c r="C30" s="228" t="s">
        <v>131</v>
      </c>
      <c r="D30" s="212">
        <f>88+54</f>
        <v>142</v>
      </c>
      <c r="E30" s="213">
        <v>19.649999999999999</v>
      </c>
      <c r="F30" s="225">
        <f>D30-E30</f>
        <v>122.35</v>
      </c>
    </row>
    <row r="31" spans="1:6">
      <c r="A31" s="228">
        <v>9</v>
      </c>
      <c r="B31" s="210" t="s">
        <v>47</v>
      </c>
      <c r="C31" s="211" t="s">
        <v>47</v>
      </c>
      <c r="D31" s="212">
        <f t="shared" ref="D31:D32" si="5">20+10</f>
        <v>30</v>
      </c>
      <c r="E31" s="213">
        <v>21.114000000000001</v>
      </c>
      <c r="F31" s="225">
        <f>D31-E31</f>
        <v>8.8859999999999992</v>
      </c>
    </row>
    <row r="32" spans="1:6">
      <c r="A32" s="228">
        <v>10</v>
      </c>
      <c r="B32" s="210" t="s">
        <v>48</v>
      </c>
      <c r="C32" s="211" t="s">
        <v>48</v>
      </c>
      <c r="D32" s="212">
        <f t="shared" si="5"/>
        <v>30</v>
      </c>
      <c r="E32" s="213">
        <v>14.275</v>
      </c>
      <c r="F32" s="225">
        <f>D32-E32</f>
        <v>15.725</v>
      </c>
    </row>
    <row r="33" spans="1:6" ht="25.5">
      <c r="A33" s="184" t="s">
        <v>130</v>
      </c>
      <c r="B33" s="232" t="s">
        <v>473</v>
      </c>
      <c r="C33" s="233"/>
      <c r="D33" s="234">
        <f t="shared" ref="D33:F33" si="6">D34+D35+D36+D37+D38</f>
        <v>1465</v>
      </c>
      <c r="E33" s="234">
        <f t="shared" si="6"/>
        <v>1052.383</v>
      </c>
      <c r="F33" s="234">
        <f t="shared" si="6"/>
        <v>412.61700000000002</v>
      </c>
    </row>
    <row r="34" spans="1:6">
      <c r="A34" s="235">
        <v>1</v>
      </c>
      <c r="B34" s="259" t="s">
        <v>474</v>
      </c>
      <c r="C34" s="347" t="s">
        <v>475</v>
      </c>
      <c r="D34" s="236">
        <v>400</v>
      </c>
      <c r="E34" s="237">
        <v>300</v>
      </c>
      <c r="F34" s="225">
        <f>D34-E34</f>
        <v>100</v>
      </c>
    </row>
    <row r="35" spans="1:6" ht="38.25">
      <c r="A35" s="235">
        <v>2</v>
      </c>
      <c r="B35" s="259" t="s">
        <v>476</v>
      </c>
      <c r="C35" s="348"/>
      <c r="D35" s="236">
        <v>500</v>
      </c>
      <c r="E35" s="238">
        <v>480.59699999999998</v>
      </c>
      <c r="F35" s="225">
        <f>D35-E35</f>
        <v>19.40300000000002</v>
      </c>
    </row>
    <row r="36" spans="1:6" ht="25.5">
      <c r="A36" s="241">
        <v>4</v>
      </c>
      <c r="B36" s="260" t="s">
        <v>499</v>
      </c>
      <c r="C36" s="242" t="s">
        <v>477</v>
      </c>
      <c r="D36" s="239">
        <v>100</v>
      </c>
      <c r="E36" s="238"/>
      <c r="F36" s="225">
        <f>D36-E36</f>
        <v>100</v>
      </c>
    </row>
    <row r="37" spans="1:6" ht="38.25">
      <c r="A37" s="241">
        <v>5</v>
      </c>
      <c r="B37" s="259" t="s">
        <v>478</v>
      </c>
      <c r="C37" s="242" t="s">
        <v>475</v>
      </c>
      <c r="D37" s="243">
        <v>85</v>
      </c>
      <c r="E37" s="240">
        <v>81.93</v>
      </c>
      <c r="F37" s="225">
        <f>D37-E37</f>
        <v>3.0699999999999932</v>
      </c>
    </row>
    <row r="38" spans="1:6" ht="25.5">
      <c r="A38" s="235">
        <v>6</v>
      </c>
      <c r="B38" s="259" t="s">
        <v>479</v>
      </c>
      <c r="C38" s="179"/>
      <c r="D38" s="243">
        <f>SUM(D39:D40)</f>
        <v>380</v>
      </c>
      <c r="E38" s="244">
        <f>SUM(E39:E40)</f>
        <v>189.85599999999999</v>
      </c>
      <c r="F38" s="244">
        <f>SUM(F39:F40)</f>
        <v>190.14400000000001</v>
      </c>
    </row>
    <row r="39" spans="1:6">
      <c r="A39" s="245">
        <v>1</v>
      </c>
      <c r="B39" s="246" t="s">
        <v>62</v>
      </c>
      <c r="C39" s="247" t="s">
        <v>62</v>
      </c>
      <c r="D39" s="249">
        <f>15+175</f>
        <v>190</v>
      </c>
      <c r="E39" s="249">
        <f>15+85+89.856</f>
        <v>189.85599999999999</v>
      </c>
      <c r="F39" s="225">
        <f>D39-E39</f>
        <v>0.14400000000000546</v>
      </c>
    </row>
    <row r="40" spans="1:6">
      <c r="A40" s="245">
        <v>7</v>
      </c>
      <c r="B40" s="246" t="s">
        <v>46</v>
      </c>
      <c r="C40" s="247" t="s">
        <v>46</v>
      </c>
      <c r="D40" s="249">
        <f>15+175</f>
        <v>190</v>
      </c>
      <c r="E40" s="231"/>
      <c r="F40" s="225">
        <f>D40-E40</f>
        <v>190</v>
      </c>
    </row>
    <row r="41" spans="1:6" ht="38.25">
      <c r="A41" s="184" t="s">
        <v>135</v>
      </c>
      <c r="B41" s="232" t="s">
        <v>480</v>
      </c>
      <c r="C41" s="233"/>
      <c r="D41" s="234">
        <f>D42+D44+D68+D75+D82+D84</f>
        <v>13519.893</v>
      </c>
      <c r="E41" s="234">
        <f>E42+E44+E68+E75+E82+E84</f>
        <v>6026.3622299999997</v>
      </c>
      <c r="F41" s="234">
        <f>F42+F44+F68+F75+F82+F84</f>
        <v>7493.5307700000003</v>
      </c>
    </row>
    <row r="42" spans="1:6" ht="38.25">
      <c r="A42" s="261" t="s">
        <v>3</v>
      </c>
      <c r="B42" s="262" t="s">
        <v>481</v>
      </c>
      <c r="C42" s="263"/>
      <c r="D42" s="264">
        <f>D43</f>
        <v>1323</v>
      </c>
      <c r="E42" s="265">
        <f>E43</f>
        <v>1296.713737</v>
      </c>
      <c r="F42" s="266">
        <f t="shared" ref="F42" si="7">F43</f>
        <v>26.286262999999963</v>
      </c>
    </row>
    <row r="43" spans="1:6">
      <c r="A43" s="250" t="s">
        <v>29</v>
      </c>
      <c r="B43" s="97" t="s">
        <v>68</v>
      </c>
      <c r="C43" s="251" t="s">
        <v>68</v>
      </c>
      <c r="D43" s="98">
        <f>1323</f>
        <v>1323</v>
      </c>
      <c r="E43" s="231">
        <v>1296.713737</v>
      </c>
      <c r="F43" s="225">
        <f>D43-E43</f>
        <v>26.286262999999963</v>
      </c>
    </row>
    <row r="44" spans="1:6" ht="51">
      <c r="A44" s="261" t="s">
        <v>5</v>
      </c>
      <c r="B44" s="262" t="s">
        <v>482</v>
      </c>
      <c r="C44" s="263"/>
      <c r="D44" s="264">
        <f>D45+D56</f>
        <v>7700.1930000000002</v>
      </c>
      <c r="E44" s="267">
        <f>E45+E56</f>
        <v>3173.7238200000002</v>
      </c>
      <c r="F44" s="266">
        <f>F45+F56</f>
        <v>4526.4691800000001</v>
      </c>
    </row>
    <row r="45" spans="1:6">
      <c r="A45" s="261"/>
      <c r="B45" s="262" t="s">
        <v>206</v>
      </c>
      <c r="C45" s="263"/>
      <c r="D45" s="268">
        <f>SUM(D46:D55)</f>
        <v>3541.1930000000002</v>
      </c>
      <c r="E45" s="267">
        <f>SUM(E46:E55)</f>
        <v>3173.7238200000002</v>
      </c>
      <c r="F45" s="266">
        <f>SUM(F46:F55)</f>
        <v>367.46918000000005</v>
      </c>
    </row>
    <row r="46" spans="1:6" ht="25.5" customHeight="1">
      <c r="A46" s="96">
        <v>1</v>
      </c>
      <c r="B46" s="246" t="s">
        <v>62</v>
      </c>
      <c r="C46" s="247" t="s">
        <v>62</v>
      </c>
      <c r="D46" s="98">
        <f>327.399</f>
        <v>327.399</v>
      </c>
      <c r="E46" s="231">
        <v>321.66676000000001</v>
      </c>
      <c r="F46" s="225">
        <f>D46-E46</f>
        <v>5.7322399999999902</v>
      </c>
    </row>
    <row r="47" spans="1:6" ht="25.5" customHeight="1">
      <c r="A47" s="96">
        <v>2</v>
      </c>
      <c r="B47" s="246" t="s">
        <v>51</v>
      </c>
      <c r="C47" s="247" t="s">
        <v>51</v>
      </c>
      <c r="D47" s="98">
        <f>432.108</f>
        <v>432.108</v>
      </c>
      <c r="E47" s="231">
        <v>398.96174999999999</v>
      </c>
      <c r="F47" s="225">
        <f t="shared" ref="F47:F55" si="8">D47-E47</f>
        <v>33.146250000000009</v>
      </c>
    </row>
    <row r="48" spans="1:6" ht="25.5">
      <c r="A48" s="96">
        <v>3</v>
      </c>
      <c r="B48" s="246" t="s">
        <v>42</v>
      </c>
      <c r="C48" s="247" t="s">
        <v>42</v>
      </c>
      <c r="D48" s="98">
        <f>365.75</f>
        <v>365.75</v>
      </c>
      <c r="E48" s="231">
        <v>322.75319999999999</v>
      </c>
      <c r="F48" s="225">
        <f t="shared" si="8"/>
        <v>42.996800000000007</v>
      </c>
    </row>
    <row r="49" spans="1:6">
      <c r="A49" s="96">
        <v>4</v>
      </c>
      <c r="B49" s="246" t="s">
        <v>63</v>
      </c>
      <c r="C49" s="247" t="s">
        <v>63</v>
      </c>
      <c r="D49" s="98">
        <f>387.277</f>
        <v>387.27699999999999</v>
      </c>
      <c r="E49" s="231">
        <v>347.49880000000002</v>
      </c>
      <c r="F49" s="225">
        <f t="shared" si="8"/>
        <v>39.77819999999997</v>
      </c>
    </row>
    <row r="50" spans="1:6" ht="25.5" customHeight="1">
      <c r="A50" s="96">
        <v>5</v>
      </c>
      <c r="B50" s="246" t="s">
        <v>52</v>
      </c>
      <c r="C50" s="247" t="s">
        <v>52</v>
      </c>
      <c r="D50" s="98">
        <f>418.418</f>
        <v>418.41800000000001</v>
      </c>
      <c r="E50" s="231">
        <v>357.47399999999999</v>
      </c>
      <c r="F50" s="225">
        <f t="shared" si="8"/>
        <v>60.944000000000017</v>
      </c>
    </row>
    <row r="51" spans="1:6">
      <c r="A51" s="96">
        <v>6</v>
      </c>
      <c r="B51" s="246" t="s">
        <v>45</v>
      </c>
      <c r="C51" s="247" t="s">
        <v>45</v>
      </c>
      <c r="D51" s="98">
        <f>271.7</f>
        <v>271.7</v>
      </c>
      <c r="E51" s="231">
        <v>265.17500000000001</v>
      </c>
      <c r="F51" s="225">
        <f t="shared" si="8"/>
        <v>6.5249999999999773</v>
      </c>
    </row>
    <row r="52" spans="1:6">
      <c r="A52" s="96">
        <v>7</v>
      </c>
      <c r="B52" s="246" t="s">
        <v>46</v>
      </c>
      <c r="C52" s="247" t="s">
        <v>46</v>
      </c>
      <c r="D52" s="98">
        <f>262.922</f>
        <v>262.92200000000003</v>
      </c>
      <c r="E52" s="231">
        <v>224.71600000000001</v>
      </c>
      <c r="F52" s="225">
        <f t="shared" si="8"/>
        <v>38.206000000000017</v>
      </c>
    </row>
    <row r="53" spans="1:6" ht="25.5" customHeight="1">
      <c r="A53" s="96">
        <v>8</v>
      </c>
      <c r="B53" s="246" t="s">
        <v>64</v>
      </c>
      <c r="C53" s="247" t="s">
        <v>64</v>
      </c>
      <c r="D53" s="98">
        <f>400.235</f>
        <v>400.23500000000001</v>
      </c>
      <c r="E53" s="231">
        <v>350.55216999999999</v>
      </c>
      <c r="F53" s="225">
        <f t="shared" si="8"/>
        <v>49.682830000000024</v>
      </c>
    </row>
    <row r="54" spans="1:6">
      <c r="A54" s="96">
        <v>9</v>
      </c>
      <c r="B54" s="246" t="s">
        <v>65</v>
      </c>
      <c r="C54" s="247" t="s">
        <v>65</v>
      </c>
      <c r="D54" s="98">
        <f>361.884</f>
        <v>361.88400000000001</v>
      </c>
      <c r="E54" s="231">
        <v>333.67613999999998</v>
      </c>
      <c r="F54" s="225">
        <f t="shared" si="8"/>
        <v>28.207860000000039</v>
      </c>
    </row>
    <row r="55" spans="1:6" ht="25.5" customHeight="1">
      <c r="A55" s="96">
        <v>11</v>
      </c>
      <c r="B55" s="246" t="s">
        <v>44</v>
      </c>
      <c r="C55" s="247" t="s">
        <v>44</v>
      </c>
      <c r="D55" s="98">
        <f>313.5</f>
        <v>313.5</v>
      </c>
      <c r="E55" s="252">
        <v>251.25</v>
      </c>
      <c r="F55" s="225">
        <f t="shared" si="8"/>
        <v>62.25</v>
      </c>
    </row>
    <row r="56" spans="1:6">
      <c r="A56" s="261"/>
      <c r="B56" s="262" t="s">
        <v>207</v>
      </c>
      <c r="C56" s="269"/>
      <c r="D56" s="268">
        <f>SUM(D57:D67)</f>
        <v>4159</v>
      </c>
      <c r="E56" s="267">
        <f t="shared" ref="E56" si="9">SUM(E57:E67)</f>
        <v>0</v>
      </c>
      <c r="F56" s="266">
        <f>SUM(F57:F67)</f>
        <v>4159</v>
      </c>
    </row>
    <row r="57" spans="1:6" ht="25.5" customHeight="1">
      <c r="A57" s="96">
        <v>1</v>
      </c>
      <c r="B57" s="246" t="s">
        <v>62</v>
      </c>
      <c r="C57" s="247" t="s">
        <v>62</v>
      </c>
      <c r="D57" s="248">
        <f>360.12</f>
        <v>360.12</v>
      </c>
      <c r="E57" s="231"/>
      <c r="F57" s="253">
        <f>D57-E57</f>
        <v>360.12</v>
      </c>
    </row>
    <row r="58" spans="1:6" ht="25.5" customHeight="1">
      <c r="A58" s="96">
        <v>2</v>
      </c>
      <c r="B58" s="246" t="s">
        <v>51</v>
      </c>
      <c r="C58" s="247" t="s">
        <v>51</v>
      </c>
      <c r="D58" s="248">
        <f>381.48</f>
        <v>381.48</v>
      </c>
      <c r="E58" s="231"/>
      <c r="F58" s="253">
        <f t="shared" ref="F58:F67" si="10">D58-E58</f>
        <v>381.48</v>
      </c>
    </row>
    <row r="59" spans="1:6" ht="25.5">
      <c r="A59" s="96">
        <v>3</v>
      </c>
      <c r="B59" s="246" t="s">
        <v>42</v>
      </c>
      <c r="C59" s="247" t="s">
        <v>42</v>
      </c>
      <c r="D59" s="248">
        <f>363.62</f>
        <v>363.62</v>
      </c>
      <c r="E59" s="254"/>
      <c r="F59" s="253">
        <f t="shared" si="10"/>
        <v>363.62</v>
      </c>
    </row>
    <row r="60" spans="1:6">
      <c r="A60" s="96">
        <v>4</v>
      </c>
      <c r="B60" s="246" t="s">
        <v>63</v>
      </c>
      <c r="C60" s="247" t="s">
        <v>63</v>
      </c>
      <c r="D60" s="248">
        <f>356.73</f>
        <v>356.73</v>
      </c>
      <c r="E60" s="231"/>
      <c r="F60" s="253">
        <f t="shared" si="10"/>
        <v>356.73</v>
      </c>
    </row>
    <row r="61" spans="1:6" ht="25.5" customHeight="1">
      <c r="A61" s="96">
        <v>5</v>
      </c>
      <c r="B61" s="246" t="s">
        <v>52</v>
      </c>
      <c r="C61" s="247" t="s">
        <v>52</v>
      </c>
      <c r="D61" s="248">
        <f>382.82</f>
        <v>382.82</v>
      </c>
      <c r="E61" s="231"/>
      <c r="F61" s="253">
        <f t="shared" si="10"/>
        <v>382.82</v>
      </c>
    </row>
    <row r="62" spans="1:6">
      <c r="A62" s="96">
        <v>6</v>
      </c>
      <c r="B62" s="246" t="s">
        <v>45</v>
      </c>
      <c r="C62" s="247" t="s">
        <v>45</v>
      </c>
      <c r="D62" s="248">
        <f>388.92</f>
        <v>388.92</v>
      </c>
      <c r="E62" s="231"/>
      <c r="F62" s="253">
        <f t="shared" si="10"/>
        <v>388.92</v>
      </c>
    </row>
    <row r="63" spans="1:6">
      <c r="A63" s="96">
        <v>7</v>
      </c>
      <c r="B63" s="246" t="s">
        <v>46</v>
      </c>
      <c r="C63" s="247" t="s">
        <v>46</v>
      </c>
      <c r="D63" s="248">
        <f>394.54</f>
        <v>394.54</v>
      </c>
      <c r="E63" s="231"/>
      <c r="F63" s="253">
        <f t="shared" si="10"/>
        <v>394.54</v>
      </c>
    </row>
    <row r="64" spans="1:6" ht="25.5" customHeight="1">
      <c r="A64" s="96">
        <v>8</v>
      </c>
      <c r="B64" s="246" t="s">
        <v>64</v>
      </c>
      <c r="C64" s="247" t="s">
        <v>64</v>
      </c>
      <c r="D64" s="248">
        <f>379.16</f>
        <v>379.16</v>
      </c>
      <c r="E64" s="231"/>
      <c r="F64" s="253">
        <f>D64-E64</f>
        <v>379.16</v>
      </c>
    </row>
    <row r="65" spans="1:6">
      <c r="A65" s="96">
        <v>9</v>
      </c>
      <c r="B65" s="246" t="s">
        <v>65</v>
      </c>
      <c r="C65" s="247" t="s">
        <v>65</v>
      </c>
      <c r="D65" s="248">
        <f>386.54</f>
        <v>386.54</v>
      </c>
      <c r="E65" s="231"/>
      <c r="F65" s="253">
        <f>D65-E65</f>
        <v>386.54</v>
      </c>
    </row>
    <row r="66" spans="1:6">
      <c r="A66" s="96">
        <v>10</v>
      </c>
      <c r="B66" s="246" t="s">
        <v>66</v>
      </c>
      <c r="C66" s="247" t="s">
        <v>66</v>
      </c>
      <c r="D66" s="248">
        <f>381.45</f>
        <v>381.45</v>
      </c>
      <c r="E66" s="231"/>
      <c r="F66" s="253">
        <f t="shared" si="10"/>
        <v>381.45</v>
      </c>
    </row>
    <row r="67" spans="1:6" ht="25.5" customHeight="1">
      <c r="A67" s="96">
        <v>11</v>
      </c>
      <c r="B67" s="246" t="s">
        <v>44</v>
      </c>
      <c r="C67" s="247" t="s">
        <v>44</v>
      </c>
      <c r="D67" s="248">
        <f>383.62</f>
        <v>383.62</v>
      </c>
      <c r="E67" s="254" t="s">
        <v>215</v>
      </c>
      <c r="F67" s="253">
        <f t="shared" si="10"/>
        <v>383.62</v>
      </c>
    </row>
    <row r="68" spans="1:6" ht="63.75">
      <c r="A68" s="261" t="s">
        <v>13</v>
      </c>
      <c r="B68" s="262" t="s">
        <v>483</v>
      </c>
      <c r="C68" s="263"/>
      <c r="D68" s="268">
        <f>SUM(D70:D74)</f>
        <v>548.69999999999993</v>
      </c>
      <c r="E68" s="267">
        <f>SUM(E70:E74)</f>
        <v>430.05467299999998</v>
      </c>
      <c r="F68" s="266">
        <f>SUM(F70:F74)</f>
        <v>118.64532700000001</v>
      </c>
    </row>
    <row r="69" spans="1:6">
      <c r="A69" s="261"/>
      <c r="B69" s="262" t="s">
        <v>206</v>
      </c>
      <c r="C69" s="263"/>
      <c r="D69" s="264"/>
      <c r="E69" s="231"/>
      <c r="F69" s="253"/>
    </row>
    <row r="70" spans="1:6" ht="25.5">
      <c r="A70" s="96">
        <v>1</v>
      </c>
      <c r="B70" s="246" t="s">
        <v>62</v>
      </c>
      <c r="C70" s="247" t="s">
        <v>62</v>
      </c>
      <c r="D70" s="248">
        <f>105.3</f>
        <v>105.3</v>
      </c>
      <c r="E70" s="231">
        <v>105</v>
      </c>
      <c r="F70" s="253">
        <f>D70-E70</f>
        <v>0.29999999999999716</v>
      </c>
    </row>
    <row r="71" spans="1:6" ht="25.5">
      <c r="A71" s="96">
        <v>3</v>
      </c>
      <c r="B71" s="246" t="s">
        <v>42</v>
      </c>
      <c r="C71" s="247" t="s">
        <v>42</v>
      </c>
      <c r="D71" s="248">
        <f>105.9</f>
        <v>105.9</v>
      </c>
      <c r="E71" s="254">
        <v>105.782673</v>
      </c>
      <c r="F71" s="253">
        <f>D71-E71</f>
        <v>0.11732700000000307</v>
      </c>
    </row>
    <row r="72" spans="1:6">
      <c r="A72" s="96">
        <v>7</v>
      </c>
      <c r="B72" s="246" t="s">
        <v>46</v>
      </c>
      <c r="C72" s="247" t="s">
        <v>46</v>
      </c>
      <c r="D72" s="248">
        <f>118.2</f>
        <v>118.2</v>
      </c>
      <c r="E72" s="231"/>
      <c r="F72" s="253">
        <f>D72-E72</f>
        <v>118.2</v>
      </c>
    </row>
    <row r="73" spans="1:6">
      <c r="A73" s="96">
        <v>8</v>
      </c>
      <c r="B73" s="246" t="s">
        <v>64</v>
      </c>
      <c r="C73" s="247" t="s">
        <v>64</v>
      </c>
      <c r="D73" s="248">
        <f>108.9</f>
        <v>108.9</v>
      </c>
      <c r="E73" s="231">
        <v>108.873</v>
      </c>
      <c r="F73" s="253">
        <f>D73-E73</f>
        <v>2.7000000000001023E-2</v>
      </c>
    </row>
    <row r="74" spans="1:6">
      <c r="A74" s="96">
        <v>9</v>
      </c>
      <c r="B74" s="246" t="s">
        <v>65</v>
      </c>
      <c r="C74" s="247" t="s">
        <v>65</v>
      </c>
      <c r="D74" s="248">
        <f>110.4</f>
        <v>110.4</v>
      </c>
      <c r="E74" s="248">
        <f>110.399</f>
        <v>110.399</v>
      </c>
      <c r="F74" s="253">
        <f>D74-E74</f>
        <v>1.0000000000047748E-3</v>
      </c>
    </row>
    <row r="75" spans="1:6" ht="25.5">
      <c r="A75" s="261" t="s">
        <v>14</v>
      </c>
      <c r="B75" s="262" t="s">
        <v>484</v>
      </c>
      <c r="C75" s="263"/>
      <c r="D75" s="268">
        <f>SUM(D76:D81)</f>
        <v>3193</v>
      </c>
      <c r="E75" s="267">
        <f>SUM(E76:E81)</f>
        <v>674.83899999999994</v>
      </c>
      <c r="F75" s="266">
        <f>SUM(F76:F81)</f>
        <v>2518.1610000000001</v>
      </c>
    </row>
    <row r="76" spans="1:6" ht="25.5">
      <c r="A76" s="255">
        <v>1</v>
      </c>
      <c r="B76" s="97" t="s">
        <v>485</v>
      </c>
      <c r="C76" s="251" t="s">
        <v>486</v>
      </c>
      <c r="D76" s="173">
        <v>367.5</v>
      </c>
      <c r="E76" s="270">
        <v>234.67500000000001</v>
      </c>
      <c r="F76" s="253">
        <f t="shared" ref="F76:F81" si="11">D76-E76</f>
        <v>132.82499999999999</v>
      </c>
    </row>
    <row r="77" spans="1:6" ht="25.5">
      <c r="A77" s="96">
        <v>2</v>
      </c>
      <c r="B77" s="97" t="s">
        <v>487</v>
      </c>
      <c r="C77" s="251" t="s">
        <v>131</v>
      </c>
      <c r="D77" s="173">
        <f>300+336.4</f>
        <v>636.4</v>
      </c>
      <c r="E77" s="231">
        <f>150+290.164</f>
        <v>440.16399999999999</v>
      </c>
      <c r="F77" s="253">
        <f t="shared" si="11"/>
        <v>196.23599999999999</v>
      </c>
    </row>
    <row r="78" spans="1:6">
      <c r="A78" s="255">
        <v>3</v>
      </c>
      <c r="B78" s="97" t="s">
        <v>488</v>
      </c>
      <c r="C78" s="251" t="s">
        <v>68</v>
      </c>
      <c r="D78" s="248">
        <f>186</f>
        <v>186</v>
      </c>
      <c r="E78" s="231"/>
      <c r="F78" s="253">
        <f t="shared" si="11"/>
        <v>186</v>
      </c>
    </row>
    <row r="79" spans="1:6">
      <c r="A79" s="255">
        <v>3</v>
      </c>
      <c r="B79" s="97" t="s">
        <v>489</v>
      </c>
      <c r="C79" s="251" t="s">
        <v>68</v>
      </c>
      <c r="D79" s="248">
        <f>187</f>
        <v>187</v>
      </c>
      <c r="E79" s="231"/>
      <c r="F79" s="253">
        <f t="shared" si="11"/>
        <v>187</v>
      </c>
    </row>
    <row r="80" spans="1:6" ht="25.5">
      <c r="A80" s="96">
        <v>4</v>
      </c>
      <c r="B80" s="97" t="s">
        <v>490</v>
      </c>
      <c r="C80" s="251" t="s">
        <v>491</v>
      </c>
      <c r="D80" s="248">
        <v>153</v>
      </c>
      <c r="E80" s="231"/>
      <c r="F80" s="253">
        <f t="shared" si="11"/>
        <v>153</v>
      </c>
    </row>
    <row r="81" spans="1:6" ht="38.25">
      <c r="A81" s="255">
        <v>5</v>
      </c>
      <c r="B81" s="256" t="s">
        <v>492</v>
      </c>
      <c r="C81" s="257" t="s">
        <v>40</v>
      </c>
      <c r="D81" s="173">
        <v>1663.1</v>
      </c>
      <c r="E81" s="231"/>
      <c r="F81" s="253">
        <f t="shared" si="11"/>
        <v>1663.1</v>
      </c>
    </row>
    <row r="82" spans="1:6" ht="38.25">
      <c r="A82" s="261" t="s">
        <v>15</v>
      </c>
      <c r="B82" s="262" t="s">
        <v>494</v>
      </c>
      <c r="C82" s="263"/>
      <c r="D82" s="264">
        <f>D83</f>
        <v>465</v>
      </c>
      <c r="E82" s="267">
        <f>E83</f>
        <v>403.47899999999998</v>
      </c>
      <c r="F82" s="266">
        <f>F83</f>
        <v>61.521000000000015</v>
      </c>
    </row>
    <row r="83" spans="1:6" ht="25.5">
      <c r="A83" s="250" t="s">
        <v>29</v>
      </c>
      <c r="B83" s="97" t="s">
        <v>69</v>
      </c>
      <c r="C83" s="251" t="s">
        <v>69</v>
      </c>
      <c r="D83" s="248">
        <v>465</v>
      </c>
      <c r="E83" s="231">
        <v>403.47899999999998</v>
      </c>
      <c r="F83" s="253">
        <f>D83-E83</f>
        <v>61.521000000000015</v>
      </c>
    </row>
    <row r="84" spans="1:6" ht="63.75">
      <c r="A84" s="261" t="s">
        <v>205</v>
      </c>
      <c r="B84" s="262" t="s">
        <v>495</v>
      </c>
      <c r="C84" s="263"/>
      <c r="D84" s="264">
        <f>SUM(D85:D87)</f>
        <v>290</v>
      </c>
      <c r="E84" s="267">
        <f>SUM(E85:E87)</f>
        <v>47.552</v>
      </c>
      <c r="F84" s="266">
        <f>SUM(F85:F87)</f>
        <v>242.44799999999998</v>
      </c>
    </row>
    <row r="85" spans="1:6">
      <c r="A85" s="96">
        <v>1</v>
      </c>
      <c r="B85" s="97" t="s">
        <v>496</v>
      </c>
      <c r="C85" s="343" t="s">
        <v>68</v>
      </c>
      <c r="D85" s="248">
        <v>179</v>
      </c>
      <c r="E85" s="231">
        <v>30.4</v>
      </c>
      <c r="F85" s="253">
        <f>D85-E85</f>
        <v>148.6</v>
      </c>
    </row>
    <row r="86" spans="1:6">
      <c r="A86" s="96">
        <v>2</v>
      </c>
      <c r="B86" s="97" t="s">
        <v>497</v>
      </c>
      <c r="C86" s="344"/>
      <c r="D86" s="248">
        <v>69</v>
      </c>
      <c r="E86" s="231">
        <v>17.152000000000001</v>
      </c>
      <c r="F86" s="253">
        <f>D86-E86</f>
        <v>51.847999999999999</v>
      </c>
    </row>
    <row r="87" spans="1:6" ht="38.25" customHeight="1">
      <c r="A87" s="96">
        <v>3</v>
      </c>
      <c r="B87" s="258" t="s">
        <v>498</v>
      </c>
      <c r="C87" s="242" t="s">
        <v>493</v>
      </c>
      <c r="D87" s="248">
        <f>42</f>
        <v>42</v>
      </c>
      <c r="E87" s="254" t="s">
        <v>215</v>
      </c>
      <c r="F87" s="253">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II 2022</vt:lpstr>
      <vt:lpstr>PL đầu tư</vt:lpstr>
      <vt:lpstr>Sheet1</vt:lpstr>
      <vt:lpstr>sn</vt:lpstr>
      <vt:lpstr>'PL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2023-04-22T03:55:35Z</cp:lastPrinted>
  <dcterms:created xsi:type="dcterms:W3CDTF">2019-07-30T07:31:23Z</dcterms:created>
  <dcterms:modified xsi:type="dcterms:W3CDTF">2023-05-22T02:55:10Z</dcterms:modified>
</cp:coreProperties>
</file>