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715" windowHeight="11700" tabRatio="859" firstSheet="1" activeTab="2"/>
  </bookViews>
  <sheets>
    <sheet name="PL II 2022" sheetId="29" state="hidden" r:id="rId1"/>
    <sheet name="B3 đầu tư" sheetId="35" r:id="rId2"/>
    <sheet name="B4 SN" sheetId="36" r:id="rId3"/>
    <sheet name="Sheet1" sheetId="38" state="hidden" r:id="rId4"/>
    <sheet name="sn" sheetId="39" state="hidden" r:id="rId5"/>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1">'B3 đầu tư'!$A$1:$Y$120</definedName>
    <definedName name="_xlnm.Print_Area" localSheetId="0">'PL II 2022'!$A$1:$M$12</definedName>
    <definedName name="_xlnm.Print_Titles" localSheetId="1">'B3 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0" i="35" l="1"/>
  <c r="T10" i="35"/>
  <c r="U10" i="35"/>
  <c r="V10" i="35"/>
  <c r="W10" i="35"/>
  <c r="R10" i="35"/>
  <c r="I7" i="36"/>
  <c r="I6" i="36"/>
  <c r="H6" i="36"/>
  <c r="E6" i="36"/>
  <c r="D6" i="36" s="1"/>
  <c r="J6" i="36" s="1"/>
  <c r="G7" i="36"/>
  <c r="F6" i="36"/>
  <c r="F7" i="36"/>
  <c r="W83" i="35" l="1"/>
  <c r="V83" i="35"/>
  <c r="W80" i="35"/>
  <c r="U55" i="35"/>
  <c r="R52" i="35"/>
  <c r="S52" i="35"/>
  <c r="V52" i="35"/>
  <c r="V46" i="35" l="1"/>
  <c r="U96" i="35" l="1"/>
  <c r="V33" i="35" l="1"/>
  <c r="T64" i="35" l="1"/>
  <c r="V64" i="35"/>
  <c r="W64" i="35"/>
  <c r="W63" i="35" s="1"/>
  <c r="V67" i="35"/>
  <c r="T67" i="35"/>
  <c r="T66" i="35" s="1"/>
  <c r="V70" i="35"/>
  <c r="V109" i="35"/>
  <c r="V108" i="35" s="1"/>
  <c r="W109" i="35"/>
  <c r="W108" i="35" s="1"/>
  <c r="U71" i="35"/>
  <c r="U72" i="35"/>
  <c r="U73" i="35"/>
  <c r="U74" i="35"/>
  <c r="U75" i="35"/>
  <c r="U76" i="35"/>
  <c r="U77" i="35"/>
  <c r="V66" i="35" l="1"/>
  <c r="V63" i="35" s="1"/>
  <c r="T63" i="35"/>
  <c r="G9" i="36" l="1"/>
  <c r="G10" i="36"/>
  <c r="G11" i="36"/>
  <c r="G12" i="36"/>
  <c r="G13" i="36"/>
  <c r="G14" i="36"/>
  <c r="G15" i="36"/>
  <c r="G16" i="36"/>
  <c r="G17" i="36"/>
  <c r="G18" i="36"/>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6"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7" i="36"/>
  <c r="G98" i="36"/>
  <c r="G99" i="36"/>
  <c r="G100" i="36"/>
  <c r="G101" i="36"/>
  <c r="G102" i="36"/>
  <c r="G103" i="36"/>
  <c r="G104" i="36"/>
  <c r="G105" i="36"/>
  <c r="G106" i="36"/>
  <c r="G107" i="36"/>
  <c r="G108" i="36"/>
  <c r="G109" i="36"/>
  <c r="G110" i="36"/>
  <c r="G111" i="36"/>
  <c r="G112" i="36"/>
  <c r="G113" i="36"/>
  <c r="G114" i="36"/>
  <c r="G115" i="36"/>
  <c r="G116" i="36"/>
  <c r="G117" i="36"/>
  <c r="F55" i="36" l="1"/>
  <c r="H55" i="36"/>
  <c r="I55" i="36"/>
  <c r="F58" i="36"/>
  <c r="F57" i="36" s="1"/>
  <c r="H58" i="36"/>
  <c r="I58" i="36"/>
  <c r="I57" i="36" s="1"/>
  <c r="I54" i="36" l="1"/>
  <c r="F54" i="36"/>
  <c r="G55" i="36"/>
  <c r="H57" i="36"/>
  <c r="G57" i="36" s="1"/>
  <c r="G58" i="36"/>
  <c r="U82" i="35" l="1"/>
  <c r="V86" i="35" l="1"/>
  <c r="W86" i="35"/>
  <c r="T30" i="35"/>
  <c r="V30" i="35"/>
  <c r="V29" i="35" s="1"/>
  <c r="W30" i="35"/>
  <c r="T33" i="35"/>
  <c r="W33" i="35"/>
  <c r="T40" i="35"/>
  <c r="V40" i="35"/>
  <c r="W40" i="35"/>
  <c r="U53" i="35"/>
  <c r="U54" i="35"/>
  <c r="U56" i="35"/>
  <c r="U57" i="35"/>
  <c r="U58" i="35"/>
  <c r="U59" i="35"/>
  <c r="U60" i="35"/>
  <c r="U61" i="35"/>
  <c r="U62" i="35"/>
  <c r="U65" i="35"/>
  <c r="U64" i="35" s="1"/>
  <c r="U68" i="35"/>
  <c r="U69" i="35"/>
  <c r="U70" i="35"/>
  <c r="U78" i="35"/>
  <c r="U42" i="35"/>
  <c r="U43" i="35"/>
  <c r="U44" i="35"/>
  <c r="U45" i="35"/>
  <c r="U46" i="35"/>
  <c r="U47" i="35"/>
  <c r="U48" i="35"/>
  <c r="U49" i="35"/>
  <c r="U50" i="35"/>
  <c r="U51" i="35"/>
  <c r="U41" i="35"/>
  <c r="U38" i="35"/>
  <c r="V37" i="35"/>
  <c r="U37" i="35" s="1"/>
  <c r="U13" i="35"/>
  <c r="U14" i="35"/>
  <c r="U15" i="35"/>
  <c r="U16" i="35"/>
  <c r="U17" i="35"/>
  <c r="U18" i="35"/>
  <c r="U19" i="35"/>
  <c r="U20" i="35"/>
  <c r="U21" i="35"/>
  <c r="U22" i="35"/>
  <c r="U23" i="35"/>
  <c r="U24" i="35"/>
  <c r="U25" i="35"/>
  <c r="U26" i="35"/>
  <c r="U27" i="35"/>
  <c r="U28" i="35"/>
  <c r="U31" i="35"/>
  <c r="U32" i="35"/>
  <c r="U34" i="35"/>
  <c r="U35" i="35"/>
  <c r="T52" i="35"/>
  <c r="W52" i="35"/>
  <c r="W39" i="35" l="1"/>
  <c r="U36" i="35"/>
  <c r="T39" i="35"/>
  <c r="U30" i="35"/>
  <c r="U40" i="35"/>
  <c r="U67" i="35"/>
  <c r="U52" i="35"/>
  <c r="W29" i="35"/>
  <c r="W12" i="35" s="1"/>
  <c r="T29" i="35"/>
  <c r="T12" i="35" s="1"/>
  <c r="U33" i="35"/>
  <c r="U29" i="35" s="1"/>
  <c r="U12" i="35" s="1"/>
  <c r="V39" i="35"/>
  <c r="V12" i="35"/>
  <c r="S21" i="35"/>
  <c r="U39" i="35" l="1"/>
  <c r="U66" i="35"/>
  <c r="U63" i="35" s="1"/>
  <c r="U11" i="35" l="1"/>
  <c r="E8" i="36"/>
  <c r="H8" i="36"/>
  <c r="F9" i="39"/>
  <c r="D87" i="39"/>
  <c r="F86" i="39"/>
  <c r="F52" i="36" s="1"/>
  <c r="D52" i="36" s="1"/>
  <c r="J52" i="36" s="1"/>
  <c r="F85" i="39"/>
  <c r="F51" i="36" s="1"/>
  <c r="D51" i="36" s="1"/>
  <c r="J51" i="36" s="1"/>
  <c r="E84" i="39"/>
  <c r="F83" i="39"/>
  <c r="F82" i="39" s="1"/>
  <c r="F48" i="36" s="1"/>
  <c r="D48" i="36" s="1"/>
  <c r="J48" i="36" s="1"/>
  <c r="E82" i="39"/>
  <c r="D82" i="39"/>
  <c r="F81" i="39"/>
  <c r="F47" i="36" s="1"/>
  <c r="D47" i="36" s="1"/>
  <c r="J47" i="36" s="1"/>
  <c r="F80" i="39"/>
  <c r="F46" i="36" s="1"/>
  <c r="D79" i="39"/>
  <c r="F79" i="39" s="1"/>
  <c r="F45" i="36" s="1"/>
  <c r="D45" i="36" s="1"/>
  <c r="J45" i="36" s="1"/>
  <c r="D78" i="39"/>
  <c r="F78" i="39" s="1"/>
  <c r="F44" i="36" s="1"/>
  <c r="D44" i="36" s="1"/>
  <c r="J44" i="36" s="1"/>
  <c r="E77" i="39"/>
  <c r="E75" i="39" s="1"/>
  <c r="D77" i="39"/>
  <c r="F76" i="39"/>
  <c r="F42" i="36" s="1"/>
  <c r="D42" i="36" s="1"/>
  <c r="J42" i="36" s="1"/>
  <c r="E74" i="39"/>
  <c r="D74" i="39"/>
  <c r="D73" i="39"/>
  <c r="D72" i="39"/>
  <c r="D71" i="39"/>
  <c r="F71" i="39" s="1"/>
  <c r="F37" i="36" s="1"/>
  <c r="D37" i="36" s="1"/>
  <c r="J37" i="36" s="1"/>
  <c r="D70" i="39"/>
  <c r="D67" i="39"/>
  <c r="F67" i="39" s="1"/>
  <c r="F33" i="36" s="1"/>
  <c r="D33" i="36" s="1"/>
  <c r="J33" i="36" s="1"/>
  <c r="D66" i="39"/>
  <c r="D65" i="39"/>
  <c r="D64" i="39"/>
  <c r="F64" i="39" s="1"/>
  <c r="F30" i="36" s="1"/>
  <c r="D30" i="36" s="1"/>
  <c r="J30" i="36" s="1"/>
  <c r="D63" i="39"/>
  <c r="F63" i="39" s="1"/>
  <c r="F29" i="36" s="1"/>
  <c r="D29" i="36" s="1"/>
  <c r="J29" i="36" s="1"/>
  <c r="D62" i="39"/>
  <c r="F62" i="39" s="1"/>
  <c r="F28" i="36" s="1"/>
  <c r="D28" i="36" s="1"/>
  <c r="J28" i="36" s="1"/>
  <c r="D61" i="39"/>
  <c r="D60" i="39"/>
  <c r="F60" i="39" s="1"/>
  <c r="F26" i="36" s="1"/>
  <c r="D26" i="36" s="1"/>
  <c r="J26" i="36" s="1"/>
  <c r="D59" i="39"/>
  <c r="F59" i="39" s="1"/>
  <c r="F25" i="36" s="1"/>
  <c r="D25" i="36" s="1"/>
  <c r="J25" i="36" s="1"/>
  <c r="D58" i="39"/>
  <c r="F58" i="39" s="1"/>
  <c r="F24" i="36" s="1"/>
  <c r="D24" i="36" s="1"/>
  <c r="J24" i="36" s="1"/>
  <c r="D57" i="39"/>
  <c r="E56" i="39"/>
  <c r="D55" i="39"/>
  <c r="F55" i="39" s="1"/>
  <c r="F21" i="36" s="1"/>
  <c r="D21" i="36" s="1"/>
  <c r="J21" i="36" s="1"/>
  <c r="E45" i="39"/>
  <c r="D54" i="39"/>
  <c r="D53" i="39"/>
  <c r="D52" i="39"/>
  <c r="D51" i="39"/>
  <c r="D50" i="39"/>
  <c r="D49" i="39"/>
  <c r="D48" i="39"/>
  <c r="D47" i="39"/>
  <c r="D46" i="39"/>
  <c r="D43" i="39"/>
  <c r="E42" i="39"/>
  <c r="D40" i="39"/>
  <c r="E39" i="39"/>
  <c r="D39" i="39"/>
  <c r="F37" i="39"/>
  <c r="F36" i="39"/>
  <c r="F35" i="39"/>
  <c r="F34" i="39"/>
  <c r="D32" i="39"/>
  <c r="D31" i="39"/>
  <c r="D30" i="39"/>
  <c r="E29" i="39"/>
  <c r="F28" i="39"/>
  <c r="F27" i="39"/>
  <c r="D26" i="39"/>
  <c r="F26" i="39" s="1"/>
  <c r="E25" i="39"/>
  <c r="F24" i="39"/>
  <c r="F23" i="39" s="1"/>
  <c r="E23" i="39"/>
  <c r="D23" i="39"/>
  <c r="F22" i="39"/>
  <c r="F21" i="39"/>
  <c r="F20" i="39"/>
  <c r="F19" i="39"/>
  <c r="F18" i="39"/>
  <c r="F17" i="39"/>
  <c r="F16" i="39"/>
  <c r="F15" i="39"/>
  <c r="F14" i="39"/>
  <c r="F13" i="39"/>
  <c r="F12" i="39"/>
  <c r="E11" i="39"/>
  <c r="D11" i="39"/>
  <c r="F10" i="39"/>
  <c r="E8" i="39"/>
  <c r="D8" i="39"/>
  <c r="G8" i="36" l="1"/>
  <c r="D46" i="36"/>
  <c r="J46" i="36" s="1"/>
  <c r="F49" i="36"/>
  <c r="E7" i="39"/>
  <c r="D84" i="39"/>
  <c r="F74" i="39"/>
  <c r="F40" i="36" s="1"/>
  <c r="D40" i="36" s="1"/>
  <c r="J40" i="36" s="1"/>
  <c r="F31" i="39"/>
  <c r="E38" i="39"/>
  <c r="E33" i="39" s="1"/>
  <c r="F30" i="39"/>
  <c r="F66" i="39"/>
  <c r="F32" i="36" s="1"/>
  <c r="D32" i="36" s="1"/>
  <c r="J32" i="36" s="1"/>
  <c r="F73" i="39"/>
  <c r="F39" i="36" s="1"/>
  <c r="D39" i="36" s="1"/>
  <c r="J39" i="36" s="1"/>
  <c r="F87" i="39"/>
  <c r="F72" i="39"/>
  <c r="F38" i="36" s="1"/>
  <c r="D38" i="36" s="1"/>
  <c r="J38" i="36" s="1"/>
  <c r="D75" i="39"/>
  <c r="F32" i="39"/>
  <c r="D42" i="39"/>
  <c r="F43" i="39"/>
  <c r="D56" i="39"/>
  <c r="F57" i="39"/>
  <c r="F23" i="36" s="1"/>
  <c r="D23" i="36" s="1"/>
  <c r="J23" i="36" s="1"/>
  <c r="F61" i="39"/>
  <c r="F27" i="36" s="1"/>
  <c r="D27" i="36" s="1"/>
  <c r="J27" i="36" s="1"/>
  <c r="F65" i="39"/>
  <c r="F31" i="36" s="1"/>
  <c r="D31" i="36" s="1"/>
  <c r="J31" i="36" s="1"/>
  <c r="F25" i="39"/>
  <c r="D25" i="39"/>
  <c r="F47" i="39"/>
  <c r="F13" i="36" s="1"/>
  <c r="D13" i="36" s="1"/>
  <c r="J13" i="36" s="1"/>
  <c r="F11" i="39"/>
  <c r="F8" i="39"/>
  <c r="F39" i="39"/>
  <c r="D38" i="39"/>
  <c r="D33" i="39" s="1"/>
  <c r="F40" i="39"/>
  <c r="E44" i="39"/>
  <c r="F49" i="39"/>
  <c r="F15" i="36" s="1"/>
  <c r="D15" i="36" s="1"/>
  <c r="J15" i="36" s="1"/>
  <c r="F53" i="39"/>
  <c r="F19" i="36" s="1"/>
  <c r="D19" i="36" s="1"/>
  <c r="J19" i="36" s="1"/>
  <c r="F77" i="39"/>
  <c r="D45" i="39"/>
  <c r="F46" i="39"/>
  <c r="F12" i="36" s="1"/>
  <c r="D12" i="36" s="1"/>
  <c r="J12" i="36" s="1"/>
  <c r="F50" i="39"/>
  <c r="F16" i="36" s="1"/>
  <c r="D16" i="36" s="1"/>
  <c r="J16" i="36" s="1"/>
  <c r="F54" i="39"/>
  <c r="F20" i="36" s="1"/>
  <c r="D20" i="36" s="1"/>
  <c r="J20" i="36" s="1"/>
  <c r="F70" i="39"/>
  <c r="F36" i="36" s="1"/>
  <c r="D68" i="39"/>
  <c r="F51" i="39"/>
  <c r="F17" i="36" s="1"/>
  <c r="D17" i="36" s="1"/>
  <c r="J17" i="36" s="1"/>
  <c r="F48" i="39"/>
  <c r="F14" i="36" s="1"/>
  <c r="D14" i="36" s="1"/>
  <c r="J14" i="36" s="1"/>
  <c r="F52" i="39"/>
  <c r="F18" i="36" s="1"/>
  <c r="D18" i="36" s="1"/>
  <c r="J18" i="36" s="1"/>
  <c r="E68" i="39"/>
  <c r="D29" i="39"/>
  <c r="D36" i="36" l="1"/>
  <c r="J36" i="36" s="1"/>
  <c r="F35" i="36"/>
  <c r="D35" i="36" s="1"/>
  <c r="F75" i="39"/>
  <c r="F41" i="36" s="1"/>
  <c r="D41" i="36" s="1"/>
  <c r="J41" i="36" s="1"/>
  <c r="F43" i="36"/>
  <c r="D43" i="36" s="1"/>
  <c r="J43" i="36" s="1"/>
  <c r="F42" i="39"/>
  <c r="F9" i="36"/>
  <c r="D49" i="36"/>
  <c r="J49" i="36" s="1"/>
  <c r="F84" i="39"/>
  <c r="F50" i="36" s="1"/>
  <c r="D50" i="36" s="1"/>
  <c r="J50" i="36" s="1"/>
  <c r="F53" i="36"/>
  <c r="E41" i="39"/>
  <c r="E6" i="39" s="1"/>
  <c r="D7" i="39"/>
  <c r="D44" i="39"/>
  <c r="D41" i="39" s="1"/>
  <c r="F29" i="39"/>
  <c r="F7" i="39" s="1"/>
  <c r="F56" i="39"/>
  <c r="F22" i="36" s="1"/>
  <c r="D22" i="36" s="1"/>
  <c r="J22" i="36" s="1"/>
  <c r="F45" i="39"/>
  <c r="F11" i="36" s="1"/>
  <c r="D11" i="36" s="1"/>
  <c r="J11" i="36" s="1"/>
  <c r="F68" i="39"/>
  <c r="F34" i="36" s="1"/>
  <c r="D34" i="36" s="1"/>
  <c r="J34" i="36" s="1"/>
  <c r="F38" i="39"/>
  <c r="F33" i="39" s="1"/>
  <c r="D9" i="36" l="1"/>
  <c r="F8" i="36"/>
  <c r="D53" i="36"/>
  <c r="J53" i="36" s="1"/>
  <c r="D6" i="39"/>
  <c r="F44" i="39"/>
  <c r="D8" i="36" l="1"/>
  <c r="J8" i="36" s="1"/>
  <c r="J9" i="36"/>
  <c r="F41" i="39"/>
  <c r="F6" i="39" s="1"/>
  <c r="F10" i="36"/>
  <c r="D10" i="36" s="1"/>
  <c r="X65" i="35"/>
  <c r="X71" i="35"/>
  <c r="X72" i="35"/>
  <c r="X73" i="35"/>
  <c r="X74" i="35"/>
  <c r="X75" i="35"/>
  <c r="X76" i="35"/>
  <c r="X78" i="35"/>
  <c r="X57" i="35"/>
  <c r="X58" i="35"/>
  <c r="X59" i="35"/>
  <c r="X60" i="35"/>
  <c r="X61" i="35"/>
  <c r="X62" i="35"/>
  <c r="X56" i="35"/>
  <c r="Y79" i="35"/>
  <c r="V97" i="35"/>
  <c r="W97" i="35"/>
  <c r="W79" i="35" s="1"/>
  <c r="U84" i="35"/>
  <c r="U85" i="35"/>
  <c r="U87" i="35"/>
  <c r="U88" i="35"/>
  <c r="U89" i="35"/>
  <c r="U90" i="35"/>
  <c r="U91" i="35"/>
  <c r="U92" i="35"/>
  <c r="U93" i="35"/>
  <c r="U94" i="35"/>
  <c r="U95" i="35"/>
  <c r="U98" i="35"/>
  <c r="U99" i="35"/>
  <c r="U100" i="35"/>
  <c r="U101" i="35"/>
  <c r="U102" i="35"/>
  <c r="U103" i="35"/>
  <c r="U104" i="35"/>
  <c r="U105" i="35"/>
  <c r="U106" i="35"/>
  <c r="U107" i="35"/>
  <c r="U110" i="35"/>
  <c r="U111" i="35"/>
  <c r="U112" i="35"/>
  <c r="U113" i="35"/>
  <c r="U114" i="35"/>
  <c r="U115" i="35"/>
  <c r="U116" i="35"/>
  <c r="U117" i="35"/>
  <c r="U118" i="35"/>
  <c r="U119" i="35"/>
  <c r="U120" i="35"/>
  <c r="U81" i="35"/>
  <c r="U83" i="35" l="1"/>
  <c r="U109" i="35"/>
  <c r="U97" i="35"/>
  <c r="U86" i="35"/>
  <c r="D7" i="36"/>
  <c r="J7" i="36" s="1"/>
  <c r="J10" i="36"/>
  <c r="U108" i="35" l="1"/>
  <c r="S79" i="35"/>
  <c r="F24" i="38"/>
  <c r="G24" i="38"/>
  <c r="H64" i="38"/>
  <c r="S13" i="35"/>
  <c r="R18" i="35"/>
  <c r="S18" i="35" s="1"/>
  <c r="R19" i="35"/>
  <c r="S19" i="35" s="1"/>
  <c r="S77" i="35"/>
  <c r="S70" i="35"/>
  <c r="S64" i="35"/>
  <c r="S55" i="35"/>
  <c r="S36" i="35"/>
  <c r="S35" i="35"/>
  <c r="S33" i="35" s="1"/>
  <c r="S20" i="35"/>
  <c r="G82" i="38"/>
  <c r="G47" i="38"/>
  <c r="G23" i="38"/>
  <c r="G21" i="38"/>
  <c r="H21" i="38" s="1"/>
  <c r="T94" i="35" s="1"/>
  <c r="G20" i="38"/>
  <c r="H20" i="38" s="1"/>
  <c r="T93" i="35" s="1"/>
  <c r="G19" i="38"/>
  <c r="H19" i="38" s="1"/>
  <c r="T92" i="35" s="1"/>
  <c r="G17" i="38"/>
  <c r="G15" i="38"/>
  <c r="H8" i="38"/>
  <c r="T81" i="35" s="1"/>
  <c r="H111" i="38"/>
  <c r="H110" i="38"/>
  <c r="H109" i="38"/>
  <c r="H108" i="38"/>
  <c r="H107" i="38"/>
  <c r="H106" i="38"/>
  <c r="H105" i="38"/>
  <c r="H104" i="38"/>
  <c r="H103" i="38"/>
  <c r="H102" i="38"/>
  <c r="H101" i="38"/>
  <c r="H100" i="38"/>
  <c r="H99" i="38"/>
  <c r="H98" i="38"/>
  <c r="H97" i="38"/>
  <c r="H96" i="38"/>
  <c r="H95" i="38"/>
  <c r="H94" i="38"/>
  <c r="H93" i="38"/>
  <c r="H92" i="38"/>
  <c r="G91" i="38"/>
  <c r="G90" i="38" s="1"/>
  <c r="F91" i="38"/>
  <c r="F90" i="38" s="1"/>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3" i="38"/>
  <c r="H62" i="38"/>
  <c r="H61" i="38"/>
  <c r="H60" i="38"/>
  <c r="H59" i="38"/>
  <c r="H58" i="38"/>
  <c r="H57" i="38"/>
  <c r="H56" i="38"/>
  <c r="H55" i="38"/>
  <c r="H54" i="38"/>
  <c r="H53" i="38"/>
  <c r="H52" i="38"/>
  <c r="H51" i="38"/>
  <c r="F50" i="38"/>
  <c r="F49" i="38" s="1"/>
  <c r="F48" i="38" s="1"/>
  <c r="H47" i="38"/>
  <c r="H46" i="38" s="1"/>
  <c r="T119" i="35" s="1"/>
  <c r="R119" i="35" s="1"/>
  <c r="X119" i="35" s="1"/>
  <c r="F46" i="38"/>
  <c r="H45" i="38"/>
  <c r="T118" i="35" s="1"/>
  <c r="R118" i="35" s="1"/>
  <c r="X118" i="35" s="1"/>
  <c r="H44" i="38"/>
  <c r="T117" i="35" s="1"/>
  <c r="R117" i="35" s="1"/>
  <c r="X117" i="35" s="1"/>
  <c r="H43" i="38"/>
  <c r="T116" i="35" s="1"/>
  <c r="R116" i="35" s="1"/>
  <c r="X116" i="35" s="1"/>
  <c r="H42" i="38"/>
  <c r="T115" i="35" s="1"/>
  <c r="R115" i="35" s="1"/>
  <c r="X115" i="35" s="1"/>
  <c r="H41" i="38"/>
  <c r="T114" i="35" s="1"/>
  <c r="R114" i="35" s="1"/>
  <c r="X114" i="35" s="1"/>
  <c r="H40" i="38"/>
  <c r="T113" i="35" s="1"/>
  <c r="R113" i="35" s="1"/>
  <c r="X113" i="35" s="1"/>
  <c r="H39" i="38"/>
  <c r="T112" i="35" s="1"/>
  <c r="R112" i="35" s="1"/>
  <c r="X112" i="35" s="1"/>
  <c r="H38" i="38"/>
  <c r="T111" i="35" s="1"/>
  <c r="R111" i="35" s="1"/>
  <c r="X111" i="35" s="1"/>
  <c r="H37" i="38"/>
  <c r="T110" i="35" s="1"/>
  <c r="G36" i="38"/>
  <c r="G35" i="38" s="1"/>
  <c r="F36" i="38"/>
  <c r="F35" i="38" s="1"/>
  <c r="H34" i="38"/>
  <c r="H33" i="38"/>
  <c r="T106" i="35" s="1"/>
  <c r="R106" i="35" s="1"/>
  <c r="X106" i="35" s="1"/>
  <c r="H32" i="38"/>
  <c r="T105" i="35" s="1"/>
  <c r="R105" i="35" s="1"/>
  <c r="X105" i="35" s="1"/>
  <c r="H31" i="38"/>
  <c r="T104" i="35" s="1"/>
  <c r="R104" i="35" s="1"/>
  <c r="X104" i="35" s="1"/>
  <c r="H30" i="38"/>
  <c r="T103" i="35" s="1"/>
  <c r="R103" i="35" s="1"/>
  <c r="X103" i="35" s="1"/>
  <c r="H29" i="38"/>
  <c r="T102" i="35" s="1"/>
  <c r="R102" i="35" s="1"/>
  <c r="X102" i="35" s="1"/>
  <c r="H28" i="38"/>
  <c r="T101" i="35" s="1"/>
  <c r="R101" i="35" s="1"/>
  <c r="X101" i="35" s="1"/>
  <c r="H27" i="38"/>
  <c r="T100" i="35" s="1"/>
  <c r="R100" i="35" s="1"/>
  <c r="X100" i="35" s="1"/>
  <c r="H26" i="38"/>
  <c r="T99" i="35" s="1"/>
  <c r="R99" i="35" s="1"/>
  <c r="X99" i="35" s="1"/>
  <c r="H25" i="38"/>
  <c r="T98" i="35" s="1"/>
  <c r="H23" i="38"/>
  <c r="H22" i="38"/>
  <c r="T95" i="35" s="1"/>
  <c r="H18" i="38"/>
  <c r="T91" i="35" s="1"/>
  <c r="H17" i="38"/>
  <c r="T90" i="35" s="1"/>
  <c r="H16" i="38"/>
  <c r="T89" i="35" s="1"/>
  <c r="H14" i="38"/>
  <c r="T87" i="35" s="1"/>
  <c r="F13" i="38"/>
  <c r="H12" i="38"/>
  <c r="T85" i="35" s="1"/>
  <c r="R85" i="35" s="1"/>
  <c r="X85" i="35" s="1"/>
  <c r="H11" i="38"/>
  <c r="T84" i="35" s="1"/>
  <c r="G10" i="38"/>
  <c r="F10" i="38"/>
  <c r="H9" i="38"/>
  <c r="T82" i="35" s="1"/>
  <c r="R82" i="35" s="1"/>
  <c r="G7" i="38"/>
  <c r="G6" i="38" s="1"/>
  <c r="F7" i="38"/>
  <c r="F6" i="38" s="1"/>
  <c r="R110" i="35" l="1"/>
  <c r="X110" i="35" s="1"/>
  <c r="T109" i="35"/>
  <c r="T108" i="35" s="1"/>
  <c r="T83" i="35"/>
  <c r="T96" i="35"/>
  <c r="R96" i="35" s="1"/>
  <c r="T80" i="35"/>
  <c r="R80" i="35" s="1"/>
  <c r="R84" i="35"/>
  <c r="X84" i="35" s="1"/>
  <c r="R91" i="35"/>
  <c r="X91" i="35" s="1"/>
  <c r="R94" i="35"/>
  <c r="X94" i="35" s="1"/>
  <c r="R87" i="35"/>
  <c r="X87" i="35" s="1"/>
  <c r="R95" i="35"/>
  <c r="X95" i="35" s="1"/>
  <c r="R89" i="35"/>
  <c r="X89" i="35" s="1"/>
  <c r="R92" i="35"/>
  <c r="X92" i="35" s="1"/>
  <c r="X96" i="35"/>
  <c r="R93" i="35"/>
  <c r="X93" i="35" s="1"/>
  <c r="R90" i="35"/>
  <c r="X90" i="35" s="1"/>
  <c r="S16" i="35"/>
  <c r="H24" i="38"/>
  <c r="H50" i="38"/>
  <c r="H49" i="38" s="1"/>
  <c r="R98" i="35"/>
  <c r="X98" i="35" s="1"/>
  <c r="T107" i="35"/>
  <c r="R107" i="35" s="1"/>
  <c r="X107" i="35" s="1"/>
  <c r="T120" i="35"/>
  <c r="R120" i="35" s="1"/>
  <c r="X120" i="35" s="1"/>
  <c r="R81" i="35"/>
  <c r="X81" i="35" s="1"/>
  <c r="G46" i="38"/>
  <c r="G50" i="38"/>
  <c r="G49" i="38" s="1"/>
  <c r="G48" i="38" s="1"/>
  <c r="H7" i="38"/>
  <c r="H6" i="38" s="1"/>
  <c r="H10" i="38"/>
  <c r="F5" i="38"/>
  <c r="F4" i="38" s="1"/>
  <c r="H91" i="38"/>
  <c r="G13" i="38"/>
  <c r="H36" i="38"/>
  <c r="H15" i="38"/>
  <c r="T97" i="35" l="1"/>
  <c r="R97" i="35" s="1"/>
  <c r="X97" i="35" s="1"/>
  <c r="R83" i="35"/>
  <c r="X83" i="35" s="1"/>
  <c r="H90" i="38"/>
  <c r="H13" i="38"/>
  <c r="T88" i="35"/>
  <c r="H48" i="38"/>
  <c r="H35" i="38"/>
  <c r="R108" i="35" s="1"/>
  <c r="X108" i="35" s="1"/>
  <c r="G5" i="38"/>
  <c r="G4" i="38" s="1"/>
  <c r="H5" i="38"/>
  <c r="T86" i="35" l="1"/>
  <c r="R86" i="35" s="1"/>
  <c r="X86" i="35" s="1"/>
  <c r="R109" i="35"/>
  <c r="X109" i="35" s="1"/>
  <c r="R88" i="35"/>
  <c r="X88" i="35" s="1"/>
  <c r="H4" i="38"/>
  <c r="I4" i="38" s="1"/>
  <c r="T79" i="35" l="1"/>
  <c r="R79" i="35"/>
  <c r="D118" i="36" l="1"/>
  <c r="J118" i="36" s="1"/>
  <c r="E99" i="36"/>
  <c r="H96" i="36"/>
  <c r="E97" i="36"/>
  <c r="D114" i="36"/>
  <c r="E113" i="36"/>
  <c r="D101" i="36"/>
  <c r="J101" i="36" s="1"/>
  <c r="D100" i="36"/>
  <c r="J100" i="36" s="1"/>
  <c r="D98" i="36"/>
  <c r="E84" i="36"/>
  <c r="E71" i="36"/>
  <c r="D71" i="36" s="1"/>
  <c r="J71" i="36" s="1"/>
  <c r="X53" i="35"/>
  <c r="D97" i="36" l="1"/>
  <c r="J97" i="36" s="1"/>
  <c r="J98" i="36"/>
  <c r="D113" i="36"/>
  <c r="J113" i="36" s="1"/>
  <c r="J114" i="36"/>
  <c r="H54" i="36"/>
  <c r="G96" i="36"/>
  <c r="D99" i="36"/>
  <c r="J99" i="36" s="1"/>
  <c r="G54" i="36" l="1"/>
  <c r="X54" i="35" l="1"/>
  <c r="D109" i="36"/>
  <c r="J109" i="36" s="1"/>
  <c r="D107" i="36"/>
  <c r="J107" i="36" s="1"/>
  <c r="D105" i="36"/>
  <c r="D56" i="36"/>
  <c r="J56" i="36" s="1"/>
  <c r="E115" i="36"/>
  <c r="E111" i="36"/>
  <c r="E108" i="36"/>
  <c r="D108" i="36" s="1"/>
  <c r="J108" i="36" s="1"/>
  <c r="E106" i="36"/>
  <c r="E104" i="36"/>
  <c r="E102" i="36"/>
  <c r="E96" i="36" s="1"/>
  <c r="E55" i="36"/>
  <c r="D86" i="36"/>
  <c r="J86" i="36" s="1"/>
  <c r="D87" i="36"/>
  <c r="J87" i="36" s="1"/>
  <c r="D88" i="36"/>
  <c r="J88" i="36" s="1"/>
  <c r="D89" i="36"/>
  <c r="J89" i="36" s="1"/>
  <c r="D90" i="36"/>
  <c r="J90" i="36" s="1"/>
  <c r="D91" i="36"/>
  <c r="J91" i="36" s="1"/>
  <c r="D92" i="36"/>
  <c r="J92" i="36" s="1"/>
  <c r="D93" i="36"/>
  <c r="J93" i="36" s="1"/>
  <c r="D94" i="36"/>
  <c r="J94" i="36" s="1"/>
  <c r="D95" i="36"/>
  <c r="J95" i="36" s="1"/>
  <c r="D85" i="36"/>
  <c r="J85" i="36" s="1"/>
  <c r="D103" i="36"/>
  <c r="D116" i="36"/>
  <c r="D112" i="36"/>
  <c r="E117" i="36"/>
  <c r="E83" i="36"/>
  <c r="D115" i="36" l="1"/>
  <c r="J115" i="36" s="1"/>
  <c r="J116" i="36"/>
  <c r="D111" i="36"/>
  <c r="J111" i="36" s="1"/>
  <c r="J112" i="36"/>
  <c r="D104" i="36"/>
  <c r="J104" i="36" s="1"/>
  <c r="J105" i="36"/>
  <c r="D102" i="36"/>
  <c r="J103" i="36"/>
  <c r="E110" i="36"/>
  <c r="D84" i="36"/>
  <c r="J84" i="36" s="1"/>
  <c r="D83" i="36"/>
  <c r="J83" i="36" s="1"/>
  <c r="D106" i="36"/>
  <c r="J106" i="36" s="1"/>
  <c r="D110" i="36" l="1"/>
  <c r="J110" i="36" s="1"/>
  <c r="D96" i="36"/>
  <c r="J96" i="36" s="1"/>
  <c r="J102" i="36"/>
  <c r="E82" i="36"/>
  <c r="D82" i="36" s="1"/>
  <c r="J82" i="36" s="1"/>
  <c r="E81" i="36"/>
  <c r="D81" i="36" s="1"/>
  <c r="J81" i="36" s="1"/>
  <c r="E80" i="36"/>
  <c r="D80" i="36" s="1"/>
  <c r="J80" i="36" s="1"/>
  <c r="E79" i="36"/>
  <c r="D79" i="36" s="1"/>
  <c r="J79" i="36" s="1"/>
  <c r="E78" i="36"/>
  <c r="D78" i="36" s="1"/>
  <c r="J78" i="36" s="1"/>
  <c r="E77" i="36"/>
  <c r="D77" i="36" s="1"/>
  <c r="J77" i="36" s="1"/>
  <c r="E76" i="36"/>
  <c r="D76" i="36" s="1"/>
  <c r="J76" i="36" s="1"/>
  <c r="E75" i="36"/>
  <c r="D75" i="36" s="1"/>
  <c r="J75" i="36" s="1"/>
  <c r="E74" i="36"/>
  <c r="D74" i="36" s="1"/>
  <c r="J74" i="36" s="1"/>
  <c r="E73" i="36"/>
  <c r="D73" i="36" s="1"/>
  <c r="J73" i="36" s="1"/>
  <c r="E72" i="36"/>
  <c r="E69" i="36"/>
  <c r="D69" i="36" s="1"/>
  <c r="J69" i="36" s="1"/>
  <c r="E68" i="36"/>
  <c r="D68" i="36" s="1"/>
  <c r="J68" i="36" s="1"/>
  <c r="E67" i="36"/>
  <c r="D67" i="36" s="1"/>
  <c r="J67" i="36" s="1"/>
  <c r="E66" i="36"/>
  <c r="D66" i="36" s="1"/>
  <c r="J66" i="36" s="1"/>
  <c r="E65" i="36"/>
  <c r="D65" i="36" s="1"/>
  <c r="J65" i="36" s="1"/>
  <c r="E64" i="36"/>
  <c r="D64" i="36" s="1"/>
  <c r="J64" i="36" s="1"/>
  <c r="E63" i="36"/>
  <c r="D63" i="36" s="1"/>
  <c r="J63" i="36" s="1"/>
  <c r="E62" i="36"/>
  <c r="D62" i="36" s="1"/>
  <c r="J62" i="36" s="1"/>
  <c r="E61" i="36"/>
  <c r="D61" i="36" s="1"/>
  <c r="J61" i="36" s="1"/>
  <c r="E60" i="36"/>
  <c r="D60" i="36" s="1"/>
  <c r="J60" i="36" s="1"/>
  <c r="E59" i="36"/>
  <c r="D119" i="36"/>
  <c r="J119" i="36" s="1"/>
  <c r="D72" i="36" l="1"/>
  <c r="E70" i="36"/>
  <c r="D59" i="36"/>
  <c r="E58" i="36"/>
  <c r="D117" i="36"/>
  <c r="J117" i="36" s="1"/>
  <c r="D55" i="36"/>
  <c r="J55" i="36" s="1"/>
  <c r="D58" i="36" l="1"/>
  <c r="J58" i="36" s="1"/>
  <c r="J59" i="36"/>
  <c r="D70" i="36"/>
  <c r="J70" i="36" s="1"/>
  <c r="J72" i="36"/>
  <c r="E57" i="36"/>
  <c r="E54" i="36" s="1"/>
  <c r="D57" i="36" l="1"/>
  <c r="J57" i="36" s="1"/>
  <c r="X14" i="35"/>
  <c r="X15" i="35"/>
  <c r="X17" i="35"/>
  <c r="X21" i="35"/>
  <c r="X22" i="35"/>
  <c r="X23" i="35"/>
  <c r="X24" i="35"/>
  <c r="X25" i="35"/>
  <c r="X26" i="35"/>
  <c r="X27" i="35"/>
  <c r="X28" i="35"/>
  <c r="X34" i="35"/>
  <c r="X37" i="35"/>
  <c r="Y12" i="35"/>
  <c r="Y11" i="35" s="1"/>
  <c r="X38" i="35"/>
  <c r="T36" i="35"/>
  <c r="T11" i="35" s="1"/>
  <c r="V36" i="35"/>
  <c r="V11" i="35" s="1"/>
  <c r="W36" i="35"/>
  <c r="W11" i="35" s="1"/>
  <c r="R36" i="35"/>
  <c r="X36" i="35" s="1"/>
  <c r="D54" i="36" l="1"/>
  <c r="J54" i="36"/>
  <c r="Q78" i="35"/>
  <c r="Q77" i="35" s="1"/>
  <c r="R77" i="35"/>
  <c r="X77" i="35" s="1"/>
  <c r="P77" i="35"/>
  <c r="O77" i="35"/>
  <c r="N77" i="35"/>
  <c r="M77" i="35"/>
  <c r="L77" i="35"/>
  <c r="K77" i="35"/>
  <c r="J77" i="35"/>
  <c r="I77" i="35"/>
  <c r="R70" i="35"/>
  <c r="X70" i="35" s="1"/>
  <c r="Q70" i="35"/>
  <c r="P70" i="35"/>
  <c r="O70" i="35"/>
  <c r="N70" i="35"/>
  <c r="M70" i="35"/>
  <c r="L70" i="35"/>
  <c r="K70" i="35"/>
  <c r="J70" i="35"/>
  <c r="I70" i="35"/>
  <c r="R69" i="35"/>
  <c r="S69" i="35" s="1"/>
  <c r="R68" i="35"/>
  <c r="P67" i="35"/>
  <c r="O67" i="35"/>
  <c r="N67" i="35"/>
  <c r="M67" i="35"/>
  <c r="L67" i="35"/>
  <c r="K67" i="35"/>
  <c r="J67" i="35"/>
  <c r="I67" i="35"/>
  <c r="Q65" i="35"/>
  <c r="Q64" i="35" s="1"/>
  <c r="R64" i="35"/>
  <c r="X64" i="35" s="1"/>
  <c r="P64" i="35"/>
  <c r="O64" i="35"/>
  <c r="N64" i="35"/>
  <c r="M64" i="35"/>
  <c r="L64" i="35"/>
  <c r="K64" i="35"/>
  <c r="J64" i="35"/>
  <c r="I64" i="35"/>
  <c r="Q62" i="35"/>
  <c r="N62" i="35"/>
  <c r="M62" i="35"/>
  <c r="K62" i="35"/>
  <c r="J62" i="35"/>
  <c r="I62" i="35"/>
  <c r="Q61" i="35"/>
  <c r="N61" i="35"/>
  <c r="M61" i="35"/>
  <c r="L61" i="35"/>
  <c r="K61" i="35"/>
  <c r="J61" i="35"/>
  <c r="I61" i="35"/>
  <c r="Q60" i="35"/>
  <c r="N60" i="35"/>
  <c r="M60" i="35"/>
  <c r="L60" i="35"/>
  <c r="K60" i="35"/>
  <c r="J60" i="35"/>
  <c r="I60" i="35"/>
  <c r="Q59" i="35"/>
  <c r="N59" i="35"/>
  <c r="M59" i="35"/>
  <c r="L59" i="35"/>
  <c r="K59" i="35"/>
  <c r="J59" i="35"/>
  <c r="I59" i="35"/>
  <c r="Q58" i="35"/>
  <c r="N58" i="35"/>
  <c r="M58" i="35"/>
  <c r="K58" i="35"/>
  <c r="J58" i="35"/>
  <c r="I58" i="35"/>
  <c r="Q57" i="35"/>
  <c r="N57" i="35"/>
  <c r="M57" i="35"/>
  <c r="L57" i="35"/>
  <c r="K57" i="35"/>
  <c r="J57" i="35"/>
  <c r="I57" i="35"/>
  <c r="Q56" i="35"/>
  <c r="N56" i="35"/>
  <c r="M56" i="35"/>
  <c r="L56" i="35"/>
  <c r="K56" i="35"/>
  <c r="J56" i="35"/>
  <c r="I56" i="35"/>
  <c r="R55" i="35"/>
  <c r="P55" i="35"/>
  <c r="O55" i="35"/>
  <c r="Q54" i="35"/>
  <c r="Q53" i="35"/>
  <c r="X52" i="35"/>
  <c r="P52" i="35"/>
  <c r="O52" i="35"/>
  <c r="N52" i="35"/>
  <c r="M52" i="35"/>
  <c r="L52" i="35"/>
  <c r="K52" i="35"/>
  <c r="J52" i="35"/>
  <c r="I52" i="35"/>
  <c r="R51" i="35"/>
  <c r="S51" i="35" s="1"/>
  <c r="R50" i="35"/>
  <c r="S50" i="35" s="1"/>
  <c r="R49" i="35"/>
  <c r="S49" i="35" s="1"/>
  <c r="R48" i="35"/>
  <c r="S48" i="35" s="1"/>
  <c r="R47" i="35"/>
  <c r="S47" i="35" s="1"/>
  <c r="R46" i="35"/>
  <c r="S46" i="35" s="1"/>
  <c r="R45" i="35"/>
  <c r="S45" i="35" s="1"/>
  <c r="R44" i="35"/>
  <c r="S44" i="35" s="1"/>
  <c r="R43" i="35"/>
  <c r="S43" i="35" s="1"/>
  <c r="R42" i="35"/>
  <c r="S42" i="35" s="1"/>
  <c r="R41" i="35"/>
  <c r="S41" i="35" s="1"/>
  <c r="P40" i="35"/>
  <c r="O40" i="35"/>
  <c r="N40" i="35"/>
  <c r="M40" i="35"/>
  <c r="L40" i="35"/>
  <c r="K40" i="35"/>
  <c r="J40" i="35"/>
  <c r="I40" i="35"/>
  <c r="Q38" i="35"/>
  <c r="Q37" i="35"/>
  <c r="P36" i="35"/>
  <c r="O36" i="35"/>
  <c r="N36" i="35"/>
  <c r="M36" i="35"/>
  <c r="L36" i="35"/>
  <c r="K36" i="35"/>
  <c r="J36" i="35"/>
  <c r="I36" i="35"/>
  <c r="R35" i="35"/>
  <c r="Q34" i="35"/>
  <c r="P33" i="35"/>
  <c r="O33" i="35"/>
  <c r="N33" i="35"/>
  <c r="M33" i="35"/>
  <c r="L33" i="35"/>
  <c r="K33" i="35"/>
  <c r="J33" i="35"/>
  <c r="I33" i="35"/>
  <c r="R32" i="35"/>
  <c r="S32" i="35" s="1"/>
  <c r="R31" i="35"/>
  <c r="P30" i="35"/>
  <c r="O30" i="35"/>
  <c r="N30" i="35"/>
  <c r="M30" i="35"/>
  <c r="L30" i="35"/>
  <c r="K30" i="35"/>
  <c r="J30" i="35"/>
  <c r="I30" i="35"/>
  <c r="R20" i="35"/>
  <c r="X20" i="35" s="1"/>
  <c r="Q20" i="35"/>
  <c r="P20" i="35"/>
  <c r="O20" i="35"/>
  <c r="N20" i="35"/>
  <c r="M20" i="35"/>
  <c r="L20" i="35"/>
  <c r="K20" i="35"/>
  <c r="J20" i="35"/>
  <c r="I20" i="35"/>
  <c r="X18" i="35"/>
  <c r="P16" i="35"/>
  <c r="O16" i="35"/>
  <c r="N16" i="35"/>
  <c r="M16" i="35"/>
  <c r="L16" i="35"/>
  <c r="K16" i="35"/>
  <c r="J16" i="35"/>
  <c r="I16" i="35"/>
  <c r="R13" i="35"/>
  <c r="X13" i="35" s="1"/>
  <c r="Q13" i="35"/>
  <c r="P13" i="35"/>
  <c r="O13" i="35"/>
  <c r="N13" i="35"/>
  <c r="M13" i="35"/>
  <c r="L13" i="35"/>
  <c r="K13" i="35"/>
  <c r="J13" i="35"/>
  <c r="I13" i="35"/>
  <c r="X31" i="35" l="1"/>
  <c r="S31" i="35"/>
  <c r="S30" i="35" s="1"/>
  <c r="S29" i="35" s="1"/>
  <c r="S12" i="35" s="1"/>
  <c r="S40" i="35"/>
  <c r="S39" i="35" s="1"/>
  <c r="X68" i="35"/>
  <c r="S68" i="35"/>
  <c r="S67" i="35" s="1"/>
  <c r="S66" i="35" s="1"/>
  <c r="S63" i="35" s="1"/>
  <c r="Q69" i="35"/>
  <c r="X69" i="35"/>
  <c r="I66" i="35"/>
  <c r="I63" i="35" s="1"/>
  <c r="M66" i="35"/>
  <c r="M63" i="35" s="1"/>
  <c r="P66" i="35"/>
  <c r="P63" i="35" s="1"/>
  <c r="P29" i="35"/>
  <c r="P12" i="35" s="1"/>
  <c r="M29" i="35"/>
  <c r="M12" i="35" s="1"/>
  <c r="L66" i="35"/>
  <c r="L63" i="35" s="1"/>
  <c r="R67" i="35"/>
  <c r="X67" i="35" s="1"/>
  <c r="Q19" i="35"/>
  <c r="X19" i="35"/>
  <c r="L29" i="35"/>
  <c r="L12" i="35" s="1"/>
  <c r="R33" i="35"/>
  <c r="X33" i="35" s="1"/>
  <c r="X35" i="35"/>
  <c r="Q42" i="35"/>
  <c r="X42" i="35"/>
  <c r="Q46" i="35"/>
  <c r="X46" i="35"/>
  <c r="Q50" i="35"/>
  <c r="X50" i="35"/>
  <c r="Q43" i="35"/>
  <c r="X43" i="35"/>
  <c r="Q47" i="35"/>
  <c r="X47" i="35"/>
  <c r="Q51" i="35"/>
  <c r="X51" i="35"/>
  <c r="Q32" i="35"/>
  <c r="X32" i="35"/>
  <c r="Q44" i="35"/>
  <c r="X44" i="35"/>
  <c r="Q48" i="35"/>
  <c r="X48" i="35"/>
  <c r="K29" i="35"/>
  <c r="K12" i="35" s="1"/>
  <c r="O29" i="35"/>
  <c r="O12" i="35" s="1"/>
  <c r="Q41" i="35"/>
  <c r="X41" i="35"/>
  <c r="Q45" i="35"/>
  <c r="X45" i="35"/>
  <c r="Q49" i="35"/>
  <c r="X49" i="35"/>
  <c r="L39" i="35"/>
  <c r="I29" i="35"/>
  <c r="I12" i="35" s="1"/>
  <c r="O39" i="35"/>
  <c r="P39" i="35"/>
  <c r="J55" i="35"/>
  <c r="O66" i="35"/>
  <c r="O63" i="35" s="1"/>
  <c r="R30" i="35"/>
  <c r="I39" i="35"/>
  <c r="M39" i="35"/>
  <c r="Q52" i="35"/>
  <c r="N39" i="35"/>
  <c r="I55" i="35"/>
  <c r="J66" i="35"/>
  <c r="J63" i="35" s="1"/>
  <c r="N66" i="35"/>
  <c r="N63" i="35" s="1"/>
  <c r="J39" i="35"/>
  <c r="R16" i="35"/>
  <c r="X16" i="35" s="1"/>
  <c r="K39" i="35"/>
  <c r="J29" i="35"/>
  <c r="J12" i="35" s="1"/>
  <c r="N29" i="35"/>
  <c r="N12" i="35" s="1"/>
  <c r="Q36" i="35"/>
  <c r="N55" i="35"/>
  <c r="Q55" i="35"/>
  <c r="M55" i="35"/>
  <c r="K66" i="35"/>
  <c r="K63" i="35" s="1"/>
  <c r="Q31" i="35"/>
  <c r="R40" i="35"/>
  <c r="R39" i="35" s="1"/>
  <c r="X39" i="35" s="1"/>
  <c r="Q68" i="35"/>
  <c r="Q67" i="35" s="1"/>
  <c r="Q66" i="35" s="1"/>
  <c r="Q63" i="35" s="1"/>
  <c r="K55" i="35"/>
  <c r="L55" i="35"/>
  <c r="Q18" i="35"/>
  <c r="Q35" i="35"/>
  <c r="Q33" i="35" s="1"/>
  <c r="R66" i="35" l="1"/>
  <c r="X66" i="35" s="1"/>
  <c r="S11" i="35"/>
  <c r="R63" i="35"/>
  <c r="Q30" i="35"/>
  <c r="Q29" i="35" s="1"/>
  <c r="Q16" i="35"/>
  <c r="Q40" i="35"/>
  <c r="Q39" i="35" s="1"/>
  <c r="R29" i="35"/>
  <c r="X29" i="35" s="1"/>
  <c r="X30" i="35"/>
  <c r="M11" i="35"/>
  <c r="M10" i="35" s="1"/>
  <c r="P11" i="35"/>
  <c r="P10" i="35" s="1"/>
  <c r="N11" i="35"/>
  <c r="N10" i="35" s="1"/>
  <c r="L11" i="35"/>
  <c r="L10" i="35" s="1"/>
  <c r="J11" i="35"/>
  <c r="J10" i="35" s="1"/>
  <c r="I11" i="35"/>
  <c r="I10" i="35" s="1"/>
  <c r="K11" i="35"/>
  <c r="K10" i="35" s="1"/>
  <c r="O11" i="35"/>
  <c r="O10" i="35" s="1"/>
  <c r="Q12" i="35" l="1"/>
  <c r="Q11" i="35" s="1"/>
  <c r="Q10" i="35" s="1"/>
  <c r="R12" i="35"/>
  <c r="X12" i="35" s="1"/>
  <c r="G9" i="29"/>
  <c r="R11" i="35" l="1"/>
  <c r="A3" i="29"/>
  <c r="X11" i="35" l="1"/>
  <c r="I12" i="29"/>
  <c r="H12" i="29" s="1"/>
  <c r="D12" i="29"/>
  <c r="C12" i="29" s="1"/>
  <c r="I11" i="29"/>
  <c r="H11" i="29" s="1"/>
  <c r="D11" i="29"/>
  <c r="C11" i="29" s="1"/>
  <c r="I10" i="29"/>
  <c r="H10" i="29" s="1"/>
  <c r="D10" i="29"/>
  <c r="C10" i="29" s="1"/>
  <c r="L9" i="29"/>
  <c r="K9" i="29"/>
  <c r="J9" i="29"/>
  <c r="F9" i="29"/>
  <c r="E9" i="29"/>
  <c r="I9" i="29" l="1"/>
  <c r="D9" i="29"/>
  <c r="C9" i="29"/>
  <c r="H9" i="29"/>
  <c r="U80" i="35" l="1"/>
  <c r="X80" i="35" s="1"/>
  <c r="X82" i="35"/>
  <c r="V80" i="35"/>
  <c r="V79" i="35" s="1"/>
  <c r="U79" i="35" l="1"/>
  <c r="X79" i="35" l="1"/>
  <c r="X10" i="35" l="1"/>
</calcChain>
</file>

<file path=xl/sharedStrings.xml><?xml version="1.0" encoding="utf-8"?>
<sst xmlns="http://schemas.openxmlformats.org/spreadsheetml/2006/main" count="1386" uniqueCount="649">
  <si>
    <t>TT</t>
  </si>
  <si>
    <t>Ghi chú</t>
  </si>
  <si>
    <t>ĐVT: Triệu đồng</t>
  </si>
  <si>
    <t>I</t>
  </si>
  <si>
    <t>Trong đó</t>
  </si>
  <si>
    <t>II</t>
  </si>
  <si>
    <t>Vốn ĐTPT</t>
  </si>
  <si>
    <t>TỔNG SỐ</t>
  </si>
  <si>
    <t>Vốn sự nghiệp</t>
  </si>
  <si>
    <t xml:space="preserve"> </t>
  </si>
  <si>
    <t>KH năm 2021 chuyển nguồn sang năm 2022</t>
  </si>
  <si>
    <t>KH năm 2022</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</si>
  <si>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</si>
  <si>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</si>
  <si>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</si>
  <si>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</si>
  <si>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</si>
  <si>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</si>
  <si>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</si>
  <si>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</si>
  <si>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</si>
  <si>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</si>
  <si>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</si>
  <si>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</si>
  <si>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</si>
  <si>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</si>
  <si>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</si>
  <si>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</si>
  <si>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</si>
  <si>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</si>
  <si>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</si>
  <si>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</si>
  <si>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</si>
  <si>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</si>
  <si>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</si>
  <si>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</si>
  <si>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</si>
  <si>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</si>
  <si>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</si>
  <si>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</si>
  <si>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</si>
  <si>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</si>
  <si>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</si>
  <si>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</si>
  <si>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</si>
  <si>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</si>
  <si>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</si>
  <si>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</si>
  <si>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</si>
  <si>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</si>
  <si>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</si>
  <si>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</si>
  <si>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</si>
  <si>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</si>
  <si>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</si>
  <si>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</si>
  <si>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</si>
  <si>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</si>
  <si>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</si>
  <si>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</si>
  <si>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</si>
  <si>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</si>
  <si>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</si>
  <si>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</si>
  <si>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</si>
  <si>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</si>
  <si>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</si>
  <si>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</si>
  <si>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</si>
  <si>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</si>
  <si>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</si>
  <si>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</si>
  <si>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</si>
  <si>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</si>
  <si>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</si>
  <si>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</si>
  <si>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</si>
  <si>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</si>
  <si>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</si>
  <si>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</si>
  <si>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</si>
  <si>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</si>
  <si>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</si>
  <si>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</si>
  <si>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</si>
  <si>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</si>
  <si>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</si>
  <si>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</si>
  <si>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</si>
  <si>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</si>
  <si>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</si>
  <si>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</si>
  <si>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</si>
  <si>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</si>
  <si>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</si>
  <si>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</si>
  <si>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</si>
  <si>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</si>
  <si>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</si>
  <si>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</si>
  <si>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</si>
  <si>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</si>
  <si>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</si>
  <si>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</si>
  <si>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</si>
  <si>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</si>
  <si>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</si>
  <si>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</si>
  <si>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</si>
  <si>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</si>
  <si>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</si>
  <si>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</si>
  <si>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</si>
  <si>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</si>
  <si>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</si>
  <si>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</si>
  <si>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</si>
  <si>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</si>
  <si>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</si>
  <si>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</si>
  <si>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</si>
  <si>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xã Đăk Rơ Ông</t>
  </si>
  <si>
    <t>19</t>
  </si>
  <si>
    <t>xã Ngọk Lây</t>
  </si>
  <si>
    <t>xã Tu Mơ Rông</t>
  </si>
  <si>
    <t>Ban quản lý thực hiện các Chương trình MTQG xã Đăk Hà</t>
  </si>
  <si>
    <t>xã Đăk Hà</t>
  </si>
  <si>
    <t xml:space="preserve"> xã Ngọk Yêu</t>
  </si>
  <si>
    <t>xã Tê Xăng</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</si>
  <si>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</si>
  <si>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</si>
  <si>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</si>
  <si>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</si>
  <si>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</si>
  <si>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</si>
  <si>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</si>
  <si>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</si>
  <si>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</si>
  <si>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</si>
  <si>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</si>
  <si>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</si>
  <si>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</si>
  <si>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</si>
  <si>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</si>
  <si>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</si>
  <si>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</si>
  <si>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</si>
  <si>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</si>
  <si>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</si>
  <si>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</si>
  <si>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</si>
  <si>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</si>
  <si>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</si>
  <si>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</si>
  <si>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</si>
  <si>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</si>
  <si>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</si>
  <si>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</si>
  <si>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</si>
  <si>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</si>
  <si>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280, 292</t>
  </si>
  <si>
    <t>Dự án chuyển tiếp</t>
  </si>
  <si>
    <t>1.3</t>
  </si>
  <si>
    <t>280, 311</t>
  </si>
  <si>
    <t>UBND xã Đăk Tờ Kan</t>
  </si>
  <si>
    <t>UBND xã Đăk Sao</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</si>
  <si>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</si>
  <si>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</si>
  <si>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</si>
  <si>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</si>
  <si>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</si>
  <si>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</si>
  <si>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</si>
  <si>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</si>
  <si>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</si>
  <si>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</si>
  <si>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</si>
  <si>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</si>
  <si>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</si>
  <si>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</si>
  <si>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</si>
  <si>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</si>
  <si>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</si>
  <si>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</si>
  <si>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</si>
  <si>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</si>
  <si>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</si>
  <si>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</si>
  <si>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</si>
  <si>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</si>
  <si>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</si>
  <si>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</si>
  <si>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</si>
  <si>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</si>
  <si>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</si>
  <si>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</si>
  <si>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</si>
  <si>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</si>
  <si>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</si>
  <si>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</si>
  <si>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</si>
  <si>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</si>
  <si>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</si>
  <si>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</si>
  <si>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</si>
  <si>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</si>
  <si>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</si>
  <si>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</si>
  <si>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</si>
  <si>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</si>
  <si>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</si>
  <si>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</si>
  <si>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</si>
  <si>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</si>
  <si>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</si>
  <si>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</si>
  <si>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</si>
  <si>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</si>
  <si>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</si>
  <si>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</si>
  <si>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</si>
  <si>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</si>
  <si>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</si>
  <si>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</si>
  <si>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</si>
  <si>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</si>
  <si>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</si>
  <si>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</si>
  <si>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</si>
  <si>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</si>
  <si>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</si>
  <si>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</si>
  <si>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</si>
  <si>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</si>
  <si>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</si>
  <si>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</si>
  <si>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</si>
  <si>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</si>
  <si>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</si>
  <si>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</si>
  <si>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</si>
  <si>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</si>
  <si>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</si>
  <si>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</si>
  <si>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</si>
  <si>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</si>
  <si>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</si>
  <si>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3.2.1</t>
  </si>
  <si>
    <t>Chợ trung tâm xã Ngok Lây</t>
  </si>
  <si>
    <t>3.2.2</t>
  </si>
  <si>
    <t>Nâng cấp, sửa chữa đường liên xã Đăk Hà qua xã Đăk Rơ Ông</t>
  </si>
  <si>
    <t>Xã Đăk Hà-Đăk Rơ Ông</t>
  </si>
  <si>
    <t>541/QĐ-UBND, ngày 16/11/2022</t>
  </si>
  <si>
    <t>Dự án 5 (bố trí dự án chuyển tiếp)</t>
  </si>
  <si>
    <t>Trường Phổ thông dân tộc bán trú Trung học cơ sở xã Đăk Sao</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</si>
  <si>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</si>
  <si>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</si>
  <si>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</si>
  <si>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</si>
  <si>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</si>
  <si>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</si>
  <si>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Trường Phổ thông dân tộc bán trú Trung học cơ sở xã Đăk Na</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</si>
  <si>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</si>
  <si>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</si>
  <si>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</si>
  <si>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</si>
  <si>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</si>
  <si>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</si>
  <si>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</si>
  <si>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</si>
  <si>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</si>
  <si>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</si>
  <si>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</si>
  <si>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</si>
  <si>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</si>
  <si>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Làng Ba Khen, xã Văn Xuôi</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</si>
  <si>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</si>
  <si>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</si>
  <si>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</si>
  <si>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</si>
  <si>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</si>
  <si>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</si>
  <si>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</si>
  <si>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</si>
  <si>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</si>
  <si>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</si>
  <si>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</si>
  <si>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</si>
  <si>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</si>
  <si>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</si>
  <si>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</si>
  <si>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</si>
  <si>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</si>
  <si>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</si>
  <si>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</si>
  <si>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</si>
  <si>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</si>
  <si>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</si>
  <si>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</si>
  <si>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</si>
  <si>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</si>
  <si>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</si>
  <si>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</si>
  <si>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</si>
  <si>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</si>
  <si>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</si>
  <si>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Dự án 2: Đa dạng hóa sinh kế, phát triển mô hình giảm nghèo</t>
  </si>
  <si>
    <t>Trung tâm dịch vụ Nông nghiệp huyện</t>
  </si>
  <si>
    <t>Dự án 4: Phát triển giáo dục nghề nghiệp, việc làm bền vững</t>
  </si>
  <si>
    <t>Trung tâm Văn hóa - Thể thảo - Du lịch và Truyền thông</t>
  </si>
  <si>
    <t>Dự án 7: Nâng cao năng lực và giám sát, đánh giá Chương trình</t>
  </si>
  <si>
    <t>Phòng Nông nghiệp và Phát triển nông thôn</t>
  </si>
  <si>
    <t>Dự án 8</t>
  </si>
  <si>
    <t>Phòng Giáo dục và Đào tạo</t>
  </si>
  <si>
    <t>Dự án 9 -TDA 2</t>
  </si>
  <si>
    <t>Dự án 3 -TDA 1</t>
  </si>
  <si>
    <t>Dự án 5 - TDA 3</t>
  </si>
  <si>
    <t xml:space="preserve">Tổng số </t>
  </si>
  <si>
    <t>Kế hoạch vốn giao năm 2023</t>
  </si>
  <si>
    <t>VIII</t>
  </si>
  <si>
    <t>Dự án 3</t>
  </si>
  <si>
    <t>Tiểu dự án 1</t>
  </si>
  <si>
    <t>Tiểu dự án 2</t>
  </si>
  <si>
    <t xml:space="preserve">Dự án 5 </t>
  </si>
  <si>
    <t>Tiểu dự án 4</t>
  </si>
  <si>
    <t>Tiểu dự án 3</t>
  </si>
  <si>
    <t xml:space="preserve">Dự án 10 </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</si>
  <si>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</si>
  <si>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</si>
  <si>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</si>
  <si>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</si>
  <si>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</si>
  <si>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</si>
  <si>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</si>
  <si>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</si>
  <si>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</si>
  <si>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</si>
  <si>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</si>
  <si>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</si>
  <si>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</si>
  <si>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</si>
  <si>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</si>
  <si>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</si>
  <si>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</si>
  <si>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</si>
  <si>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</si>
  <si>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</si>
  <si>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</si>
  <si>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</si>
  <si>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</si>
  <si>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</si>
  <si>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</si>
  <si>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</si>
  <si>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</si>
  <si>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</si>
  <si>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</si>
  <si>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</si>
  <si>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</si>
  <si>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</si>
  <si>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</si>
  <si>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</si>
  <si>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</si>
  <si>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</si>
  <si>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</si>
  <si>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</si>
  <si>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</si>
  <si>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</si>
  <si>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</si>
  <si>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</si>
  <si>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</si>
  <si>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</si>
  <si>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</si>
  <si>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</si>
  <si>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</si>
  <si>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</si>
  <si>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</si>
  <si>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</si>
  <si>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</si>
  <si>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</si>
  <si>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</si>
  <si>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</si>
  <si>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</si>
  <si>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</si>
  <si>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</si>
  <si>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</si>
  <si>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</si>
  <si>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</si>
  <si>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</si>
  <si>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</si>
  <si>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</si>
  <si>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</si>
  <si>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</si>
  <si>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</si>
  <si>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</si>
  <si>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</si>
  <si>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</si>
  <si>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</si>
  <si>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</si>
  <si>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</si>
  <si>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</si>
  <si>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</si>
  <si>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</si>
  <si>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</si>
  <si>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</si>
  <si>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</si>
  <si>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</si>
  <si>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</si>
  <si>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</si>
  <si>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</si>
  <si>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</si>
  <si>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</si>
  <si>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</si>
  <si>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</si>
  <si>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</si>
  <si>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</si>
  <si>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</si>
  <si>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</si>
  <si>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</si>
  <si>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</si>
  <si>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</si>
  <si>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</si>
  <si>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</si>
  <si>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</si>
  <si>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</si>
  <si>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</si>
  <si>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</si>
  <si>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</si>
  <si>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</si>
  <si>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</si>
  <si>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</si>
  <si>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</si>
  <si>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</si>
  <si>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</si>
  <si>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</si>
  <si>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</si>
  <si>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</si>
  <si>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</si>
  <si>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</si>
  <si>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</si>
  <si>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</si>
  <si>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</si>
  <si>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</si>
  <si>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</si>
  <si>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</si>
  <si>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</si>
  <si>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</si>
  <si>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</si>
  <si>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</si>
  <si>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</si>
  <si>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</si>
  <si>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</si>
  <si>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</si>
  <si>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</si>
  <si>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</si>
  <si>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</si>
  <si>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</si>
  <si>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</si>
  <si>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</si>
  <si>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</si>
  <si>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</si>
  <si>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</si>
  <si>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</si>
  <si>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</si>
  <si>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</si>
  <si>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</si>
  <si>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</si>
  <si>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</si>
  <si>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</si>
  <si>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</si>
  <si>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</si>
  <si>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</si>
  <si>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</si>
  <si>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</si>
  <si>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</si>
  <si>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</si>
  <si>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</si>
  <si>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</si>
  <si>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</si>
  <si>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</si>
  <si>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</si>
  <si>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</si>
  <si>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</si>
  <si>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</si>
  <si>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</si>
  <si>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</si>
  <si>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</si>
  <si>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</si>
  <si>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</si>
  <si>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</si>
  <si>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</si>
  <si>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</si>
  <si>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</si>
  <si>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</si>
  <si>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</si>
  <si>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</si>
  <si>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</si>
  <si>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</si>
  <si>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</si>
  <si>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</si>
  <si>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</si>
  <si>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</si>
  <si>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</si>
  <si>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</si>
  <si>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</si>
  <si>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</si>
  <si>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Ban quản lý thực hiện các Chương trình MTQG xã Đăk Tờ Kan</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</si>
  <si>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</si>
  <si>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</si>
  <si>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</si>
  <si>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</si>
  <si>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</si>
  <si>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</si>
  <si>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</si>
  <si>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</si>
  <si>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</si>
  <si>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</si>
  <si>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</si>
  <si>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</si>
  <si>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</si>
  <si>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</si>
  <si>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</si>
  <si>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</si>
  <si>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</si>
  <si>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</si>
  <si>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</si>
  <si>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</si>
  <si>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</si>
  <si>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</si>
  <si>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</si>
  <si>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</si>
  <si>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</si>
  <si>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</si>
  <si>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</si>
  <si>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</si>
  <si>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</si>
  <si>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</si>
  <si>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</si>
  <si>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</si>
  <si>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</si>
  <si>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</si>
  <si>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</si>
  <si>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</si>
  <si>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</si>
  <si>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</si>
  <si>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</si>
  <si>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</si>
  <si>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</si>
  <si>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</si>
  <si>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</si>
  <si>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</si>
  <si>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</si>
  <si>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</si>
  <si>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</si>
  <si>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</si>
  <si>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</si>
  <si>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</si>
  <si>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</si>
  <si>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</si>
  <si>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</si>
  <si>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</si>
  <si>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</si>
  <si>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</si>
  <si>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</si>
  <si>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</si>
  <si>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</si>
  <si>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</si>
  <si>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</si>
  <si>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</si>
  <si>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</si>
  <si>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</si>
  <si>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</si>
  <si>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</si>
  <si>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</si>
  <si>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</si>
  <si>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Nguồn chuyển nguồn năm 2022 sang năm 2023 tiếp tục thực hiện</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</si>
  <si>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</si>
  <si>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</si>
  <si>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</si>
  <si>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</si>
  <si>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</si>
  <si>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</si>
  <si>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</si>
  <si>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</si>
  <si>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</si>
  <si>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</si>
  <si>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</si>
  <si>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</si>
  <si>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</si>
  <si>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</si>
  <si>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</si>
  <si>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</si>
  <si>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</si>
  <si>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</si>
  <si>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</si>
  <si>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</si>
  <si>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</si>
  <si>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</si>
  <si>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</si>
  <si>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</si>
  <si>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</si>
  <si>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</si>
  <si>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</si>
  <si>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</si>
  <si>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</si>
  <si>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</si>
  <si>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</si>
  <si>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</si>
  <si>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</si>
  <si>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</si>
  <si>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</si>
  <si>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</si>
  <si>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</si>
  <si>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</si>
  <si>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</si>
  <si>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</si>
  <si>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</si>
  <si>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</si>
  <si>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</si>
  <si>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</si>
  <si>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</si>
  <si>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</si>
  <si>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</si>
  <si>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</si>
  <si>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</si>
  <si>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</si>
  <si>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</si>
  <si>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</si>
  <si>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Dự án 3:</t>
  </si>
  <si>
    <t xml:space="preserve">Dự án 4: </t>
  </si>
  <si>
    <t xml:space="preserve">Dự án 5: </t>
  </si>
  <si>
    <t xml:space="preserve">Dự án 8: </t>
  </si>
  <si>
    <t xml:space="preserve">Dự án 10: </t>
  </si>
  <si>
    <t>Dự án 1:</t>
  </si>
  <si>
    <t>Trung tâm VHTTDL và TT</t>
  </si>
  <si>
    <t>TỔNG (A) + (B)</t>
  </si>
  <si>
    <t>a)</t>
  </si>
  <si>
    <t>b)</t>
  </si>
  <si>
    <t>Dự án 5 - TDA 3 Phân bổ tập trung (phân bổ chi tiết khi đủ điều kiện)</t>
  </si>
  <si>
    <t>Giải ngân KH 2023</t>
  </si>
  <si>
    <t>Giải ngân KH năm 2022 chuyển sang năm 2023</t>
  </si>
  <si>
    <t xml:space="preserve">                                                                                                                                                                                                                                                                                                                                    </t>
  </si>
  <si>
    <t>Trung tâm VHTTDLTT</t>
  </si>
  <si>
    <t>Thực hiện giải ngân đến ngày 14/6/2023</t>
  </si>
  <si>
    <t>Kết quả thực hiện giải ngân 14/6/2023</t>
  </si>
  <si>
    <t>Năm 2023</t>
  </si>
  <si>
    <t>TDA2: Trung tâm Văn hóa - Thể thao - Du lịch và TT</t>
  </si>
  <si>
    <t>THỰC HIỆN KẾ HOẠCH VỐN ĐÂU TƯ PHÁT TRIỂN NĂM 2023 THỰC HIỆNCHƯƠNG TRÌNH MỤC TIÊU QUỐC GIA PHÁT TRIỂN KTXH VÙNG ĐB DTTS&amp;MN TRÊN ĐỊA BÀN HUYỆN TU MƠ RÔNG (VỐN ĐẦU TƯ)</t>
  </si>
  <si>
    <t>THỰC HIỆN KẾ HOẠCH VỐN NGÂN SÁCH CHƯƠNG TRÌNH MỤC TIÊU QUỐC GIA PHÁT TRIỂN KTXH VÙNG ĐB DTTS&amp;MN  NĂM 2023 (VỐN SỰ NGHIỆP)</t>
  </si>
  <si>
    <t>Phụ lục I</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</si>
</sst>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_-* #,##0.0_-;\-* #,##0.0_-;_-* &quot;-&quot;??_-;_-@_-"/>
  </numFmts>
  <fonts count="284">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sz val="12"/>
      <color theme="1"/>
      <name val="Arial Narrow"/>
      <family val="2"/>
    </font>
    <font>
      <b/>
      <sz val="12"/>
      <color theme="1"/>
      <name val="Arial Narrow"/>
      <family val="2"/>
    </font>
    <font>
      <b/>
      <sz val="13"/>
      <name val="Times New Roman"/>
      <family val="1"/>
    </font>
    <font>
      <b/>
      <i/>
      <sz val="12"/>
      <color theme="1"/>
      <name val="Times New Roman"/>
      <family val="1"/>
    </font>
    <font>
      <i/>
      <sz val="12"/>
      <color theme="1"/>
      <name val="Arial Narrow"/>
      <family val="2"/>
    </font>
    <font>
      <b/>
      <i/>
      <sz val="12"/>
      <name val="Times New Roman"/>
      <family val="1"/>
    </font>
    <font>
      <i/>
      <sz val="11"/>
      <name val="Times New Roman"/>
      <family val="1"/>
    </font>
    <font>
      <b/>
      <i/>
      <sz val="12"/>
      <color theme="1"/>
      <name val="Arial Narrow"/>
      <family val="2"/>
    </font>
    <font>
      <b/>
      <sz val="11"/>
      <color theme="1"/>
      <name val="Times New Roman"/>
      <family val="1"/>
    </font>
    <font>
      <sz val="11"/>
      <color rgb="FFFF0000"/>
      <name val="Times New Roman"/>
      <family val="1"/>
    </font>
    <font>
      <sz val="10"/>
      <color rgb="FFFF0000"/>
      <name val="Times New Roman"/>
      <family val="1"/>
    </font>
    <font>
      <i/>
      <sz val="12"/>
      <name val="Times New Roman"/>
      <family val="1"/>
    </font>
  </fonts>
  <fills count="7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6">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68"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69"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68"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69"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8"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2"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9"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168"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69" fontId="13" fillId="0" borderId="0" applyFont="0" applyFill="0" applyBorder="0" applyAlignment="0" applyProtection="0"/>
    <xf numFmtId="41" fontId="80" fillId="0" borderId="0" applyFont="0" applyFill="0" applyBorder="0" applyAlignment="0" applyProtection="0"/>
    <xf numFmtId="168" fontId="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0"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43" fontId="7" fillId="0" borderId="0" applyFont="0" applyFill="0" applyBorder="0" applyAlignment="0" applyProtection="0"/>
    <xf numFmtId="213" fontId="4"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4"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9" fontId="54" fillId="0" borderId="0" applyFont="0" applyFill="0" applyBorder="0" applyAlignment="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4" fillId="0" borderId="0" applyFont="0" applyFill="0" applyBorder="0" applyAlignment="0" applyProtection="0"/>
    <xf numFmtId="254" fontId="83"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9" fontId="80" fillId="0" borderId="0" applyFont="0" applyFill="0" applyBorder="0" applyAlignment="0" applyProtection="0"/>
    <xf numFmtId="252" fontId="13" fillId="0" borderId="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69" fontId="4" fillId="0" borderId="0" applyFont="0" applyFill="0" applyBorder="0" applyAlignment="0" applyProtection="0"/>
    <xf numFmtId="169" fontId="13"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169"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255"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3"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9" fillId="0" borderId="0"/>
    <xf numFmtId="282" fontId="15" fillId="0" borderId="1"/>
    <xf numFmtId="282" fontId="15"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5" fillId="0" borderId="0"/>
    <xf numFmtId="168" fontId="94" fillId="0" borderId="0" applyFont="0" applyFill="0" applyBorder="0" applyAlignment="0" applyProtection="0"/>
    <xf numFmtId="169"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68" fontId="94" fillId="0" borderId="0" applyFont="0" applyFill="0" applyBorder="0" applyAlignment="0" applyProtection="0"/>
    <xf numFmtId="168"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6" fillId="0" borderId="0" applyNumberFormat="0" applyAlignment="0">
      <alignment horizontal="left"/>
    </xf>
    <xf numFmtId="0" fontId="97"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68"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68"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8" fontId="49" fillId="0" borderId="0" applyFont="0" applyFill="0" applyBorder="0" applyAlignment="0" applyProtection="0"/>
    <xf numFmtId="169" fontId="49" fillId="0" borderId="0" applyFont="0" applyFill="0" applyBorder="0" applyAlignment="0" applyProtection="0"/>
    <xf numFmtId="0" fontId="133" fillId="0" borderId="23"/>
    <xf numFmtId="0" fontId="134" fillId="0" borderId="23"/>
    <xf numFmtId="174" fontId="49" fillId="0" borderId="10"/>
    <xf numFmtId="174"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68"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49"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49"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0" fontId="31" fillId="0" borderId="0" applyFont="0" applyFill="0" applyBorder="0" applyAlignment="0" applyProtection="0"/>
    <xf numFmtId="168"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0" fontId="4" fillId="0" borderId="3">
      <alignment horizontal="right" vertical="center"/>
    </xf>
    <xf numFmtId="320" fontId="4"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68"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68"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2" fillId="0" borderId="0"/>
    <xf numFmtId="0" fontId="142" fillId="0" borderId="0"/>
    <xf numFmtId="0" fontId="222" fillId="0" borderId="0"/>
    <xf numFmtId="0" fontId="34" fillId="0" borderId="0"/>
    <xf numFmtId="168" fontId="13" fillId="0" borderId="0" applyFont="0" applyFill="0" applyBorder="0" applyAlignment="0" applyProtection="0"/>
    <xf numFmtId="169"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5"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4"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70"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68"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9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9" fillId="0" borderId="0" applyFont="0" applyFill="0" applyBorder="0" applyAlignment="0" applyProtection="0"/>
    <xf numFmtId="43" fontId="4"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1"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9"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43" fontId="83" fillId="0" borderId="0" applyFont="0" applyFill="0" applyBorder="0" applyAlignment="0" applyProtection="0"/>
    <xf numFmtId="0" fontId="9" fillId="0" borderId="0" applyFont="0" applyFill="0" applyBorder="0" applyAlignment="0" applyProtection="0"/>
    <xf numFmtId="43" fontId="2" fillId="0" borderId="0" applyFont="0" applyFill="0" applyBorder="0" applyAlignment="0" applyProtection="0"/>
    <xf numFmtId="0" fontId="2" fillId="0" borderId="0"/>
    <xf numFmtId="0" fontId="228" fillId="0" borderId="0"/>
    <xf numFmtId="0" fontId="1" fillId="0" borderId="0"/>
  </cellStyleXfs>
  <cellXfs count="478">
    <xf numFmtId="0" fontId="0" fillId="0" borderId="0" xfId="0"/>
    <xf numFmtId="0" fontId="259" fillId="0" borderId="0" xfId="0" applyFont="1" applyAlignment="1">
      <alignment vertical="center"/>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3"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69" fontId="83" fillId="0" borderId="0" xfId="20514" applyFont="1" applyFill="1"/>
    <xf numFmtId="367" fontId="83" fillId="0" borderId="0" xfId="20514" applyNumberFormat="1" applyFont="1" applyFill="1"/>
    <xf numFmtId="243" fontId="83" fillId="0" borderId="68" xfId="20514" applyNumberFormat="1" applyFont="1" applyFill="1" applyBorder="1" applyAlignment="1">
      <alignment horizontal="right" vertical="center" wrapText="1"/>
    </xf>
    <xf numFmtId="169" fontId="83" fillId="0" borderId="68" xfId="20514" applyFont="1" applyFill="1" applyBorder="1" applyAlignment="1">
      <alignment horizontal="right" vertical="center" wrapText="1"/>
    </xf>
    <xf numFmtId="0" fontId="0" fillId="0" borderId="0" xfId="0" applyFont="1"/>
    <xf numFmtId="0" fontId="83" fillId="0" borderId="0" xfId="0" applyFont="1" applyFill="1" applyAlignment="1">
      <alignment horizontal="center"/>
    </xf>
    <xf numFmtId="0" fontId="272" fillId="0" borderId="0" xfId="0" applyFont="1"/>
    <xf numFmtId="169" fontId="264" fillId="0" borderId="76" xfId="20514" applyNumberFormat="1" applyFont="1" applyFill="1" applyBorder="1" applyAlignment="1">
      <alignment horizontal="center" vertical="center" wrapText="1"/>
    </xf>
    <xf numFmtId="0" fontId="264" fillId="0" borderId="76" xfId="2612" applyFont="1" applyBorder="1" applyAlignment="1">
      <alignment horizontal="center" vertical="center"/>
    </xf>
    <xf numFmtId="0" fontId="273" fillId="0" borderId="0" xfId="0" applyFont="1"/>
    <xf numFmtId="0" fontId="83" fillId="0" borderId="76" xfId="20513" applyFont="1" applyBorder="1" applyAlignment="1">
      <alignment horizontal="left" vertical="center" wrapText="1"/>
    </xf>
    <xf numFmtId="0" fontId="83" fillId="0" borderId="76" xfId="2612" applyFont="1" applyBorder="1" applyAlignment="1">
      <alignment horizontal="center" vertical="center"/>
    </xf>
    <xf numFmtId="3" fontId="83" fillId="0" borderId="76" xfId="2612" applyNumberFormat="1" applyFont="1" applyBorder="1" applyAlignment="1">
      <alignment horizontal="right" vertical="center" wrapText="1"/>
    </xf>
    <xf numFmtId="3" fontId="264" fillId="0" borderId="76" xfId="2612" applyNumberFormat="1" applyFont="1" applyBorder="1" applyAlignment="1">
      <alignment horizontal="right" vertical="center" wrapText="1"/>
    </xf>
    <xf numFmtId="0" fontId="83" fillId="0" borderId="76" xfId="2612" quotePrefix="1" applyFont="1" applyBorder="1" applyAlignment="1">
      <alignment horizontal="center" vertical="center"/>
    </xf>
    <xf numFmtId="0" fontId="264" fillId="0" borderId="76" xfId="2612" applyFont="1" applyBorder="1" applyAlignment="1">
      <alignment horizontal="justify" vertical="center" wrapText="1"/>
    </xf>
    <xf numFmtId="0" fontId="264" fillId="0" borderId="76" xfId="2612" quotePrefix="1" applyFont="1" applyBorder="1" applyAlignment="1">
      <alignment horizontal="center" vertical="center"/>
    </xf>
    <xf numFmtId="0" fontId="83" fillId="0" borderId="76" xfId="2612" applyFont="1" applyBorder="1" applyAlignment="1">
      <alignment horizontal="justify" vertical="center" wrapText="1"/>
    </xf>
    <xf numFmtId="175" fontId="83" fillId="0" borderId="76" xfId="20514" applyNumberFormat="1" applyFont="1" applyFill="1" applyBorder="1" applyAlignment="1">
      <alignment horizontal="left" vertical="center" wrapText="1"/>
    </xf>
    <xf numFmtId="0" fontId="83" fillId="0" borderId="76" xfId="0" applyFont="1" applyBorder="1" applyAlignment="1">
      <alignment vertical="center" wrapText="1"/>
    </xf>
    <xf numFmtId="0" fontId="264" fillId="0" borderId="76" xfId="20513" applyFont="1" applyBorder="1" applyAlignment="1">
      <alignment horizontal="left" vertical="center" wrapText="1"/>
    </xf>
    <xf numFmtId="3" fontId="83" fillId="0" borderId="76" xfId="2612" applyNumberFormat="1" applyFont="1" applyBorder="1" applyAlignment="1">
      <alignment horizontal="center" vertical="center" wrapText="1"/>
    </xf>
    <xf numFmtId="3" fontId="264" fillId="0" borderId="76" xfId="2612" applyNumberFormat="1" applyFont="1" applyBorder="1" applyAlignment="1">
      <alignment horizontal="center" vertical="center" wrapText="1"/>
    </xf>
    <xf numFmtId="169" fontId="264" fillId="0" borderId="76" xfId="20514" applyFont="1" applyBorder="1" applyAlignment="1">
      <alignment horizontal="center" vertical="center" wrapText="1"/>
    </xf>
    <xf numFmtId="169" fontId="83" fillId="0" borderId="76" xfId="20514" applyFont="1" applyFill="1" applyBorder="1" applyAlignment="1">
      <alignment horizontal="center" vertical="center" wrapText="1"/>
    </xf>
    <xf numFmtId="0" fontId="272" fillId="0" borderId="0" xfId="0" applyFont="1" applyAlignment="1">
      <alignment horizontal="center"/>
    </xf>
    <xf numFmtId="0" fontId="81" fillId="0" borderId="76" xfId="2612" applyFont="1" applyBorder="1" applyAlignment="1">
      <alignment horizontal="center" vertical="center" wrapText="1"/>
    </xf>
    <xf numFmtId="0" fontId="81" fillId="0" borderId="76" xfId="20513" applyFont="1" applyBorder="1" applyAlignment="1">
      <alignment horizontal="center" vertical="center" wrapText="1"/>
    </xf>
    <xf numFmtId="175" fontId="81" fillId="0" borderId="76" xfId="20514" applyNumberFormat="1" applyFont="1" applyFill="1" applyBorder="1" applyAlignment="1">
      <alignment horizontal="center" vertical="center" wrapText="1"/>
    </xf>
    <xf numFmtId="0" fontId="81" fillId="0" borderId="76" xfId="0" applyFont="1" applyBorder="1" applyAlignment="1">
      <alignment horizontal="center" vertical="center" wrapText="1"/>
    </xf>
    <xf numFmtId="0" fontId="254" fillId="0" borderId="0" xfId="0" applyFont="1" applyAlignment="1">
      <alignment horizontal="center"/>
    </xf>
    <xf numFmtId="0" fontId="264" fillId="0" borderId="0" xfId="0" applyFont="1" applyFill="1"/>
    <xf numFmtId="169" fontId="264" fillId="0" borderId="68" xfId="20514" applyFont="1" applyFill="1" applyBorder="1" applyAlignment="1">
      <alignment vertical="center"/>
    </xf>
    <xf numFmtId="169" fontId="36" fillId="0" borderId="68" xfId="20514" applyFont="1" applyFill="1" applyBorder="1" applyAlignment="1">
      <alignment horizontal="center" vertical="center"/>
    </xf>
    <xf numFmtId="0" fontId="276" fillId="0" borderId="0" xfId="0" applyFont="1"/>
    <xf numFmtId="0" fontId="111" fillId="0" borderId="76" xfId="2612" applyFont="1" applyBorder="1" applyAlignment="1">
      <alignment horizontal="center" vertical="center" wrapText="1"/>
    </xf>
    <xf numFmtId="0" fontId="277" fillId="0" borderId="76" xfId="2612" quotePrefix="1" applyFont="1" applyBorder="1" applyAlignment="1">
      <alignment horizontal="center" vertical="center"/>
    </xf>
    <xf numFmtId="0" fontId="277" fillId="0" borderId="76" xfId="2612" applyFont="1" applyBorder="1" applyAlignment="1">
      <alignment horizontal="justify" vertical="center" wrapText="1"/>
    </xf>
    <xf numFmtId="0" fontId="278" fillId="0" borderId="76" xfId="2612" applyFont="1" applyBorder="1" applyAlignment="1">
      <alignment horizontal="center" vertical="center" wrapText="1"/>
    </xf>
    <xf numFmtId="3" fontId="277" fillId="0" borderId="76" xfId="2612" applyNumberFormat="1" applyFont="1" applyBorder="1" applyAlignment="1">
      <alignment horizontal="center" vertical="center" wrapText="1"/>
    </xf>
    <xf numFmtId="3" fontId="277" fillId="0" borderId="76" xfId="2612" applyNumberFormat="1" applyFont="1" applyBorder="1" applyAlignment="1">
      <alignment horizontal="right" vertical="center" wrapText="1"/>
    </xf>
    <xf numFmtId="0" fontId="279" fillId="0" borderId="0" xfId="0" applyFont="1"/>
    <xf numFmtId="367" fontId="272" fillId="0" borderId="0" xfId="20514" applyNumberFormat="1" applyFont="1" applyAlignment="1">
      <alignment horizontal="center"/>
    </xf>
    <xf numFmtId="367" fontId="264"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xf>
    <xf numFmtId="367" fontId="83" fillId="0" borderId="76" xfId="20514" applyNumberFormat="1" applyFont="1" applyBorder="1" applyAlignment="1">
      <alignment horizontal="center" vertical="center" wrapText="1"/>
    </xf>
    <xf numFmtId="367" fontId="264" fillId="0" borderId="76" xfId="20514" applyNumberFormat="1" applyFont="1" applyBorder="1" applyAlignment="1">
      <alignment horizontal="center" vertical="center" wrapText="1"/>
    </xf>
    <xf numFmtId="367" fontId="277" fillId="0" borderId="76" xfId="20514" applyNumberFormat="1" applyFont="1" applyBorder="1" applyAlignment="1">
      <alignment horizontal="center" vertical="center" wrapText="1"/>
    </xf>
    <xf numFmtId="367" fontId="83" fillId="0" borderId="76" xfId="20514" applyNumberFormat="1" applyFont="1" applyFill="1" applyBorder="1" applyAlignment="1">
      <alignment horizontal="center" vertical="center" wrapText="1"/>
    </xf>
    <xf numFmtId="0" fontId="36" fillId="0" borderId="76" xfId="2612" applyFont="1" applyFill="1" applyBorder="1" applyAlignment="1">
      <alignment horizontal="center" vertical="center"/>
    </xf>
    <xf numFmtId="0" fontId="36" fillId="0" borderId="76" xfId="2612" applyFont="1" applyFill="1" applyBorder="1" applyAlignment="1">
      <alignment horizontal="justify" vertical="center" wrapText="1"/>
    </xf>
    <xf numFmtId="169" fontId="36" fillId="0" borderId="76" xfId="20514" applyFont="1" applyFill="1" applyBorder="1" applyAlignment="1">
      <alignment horizontal="right" vertical="center" wrapText="1"/>
    </xf>
    <xf numFmtId="0" fontId="111" fillId="0" borderId="78" xfId="0" applyFont="1" applyFill="1" applyBorder="1" applyAlignment="1">
      <alignment horizontal="center" vertical="center" wrapText="1"/>
    </xf>
    <xf numFmtId="0" fontId="111" fillId="0" borderId="76" xfId="0" applyFont="1" applyFill="1" applyBorder="1" applyAlignment="1">
      <alignment vertical="center" wrapText="1"/>
    </xf>
    <xf numFmtId="175" fontId="111" fillId="0" borderId="76" xfId="20514" applyNumberFormat="1" applyFont="1" applyFill="1" applyBorder="1" applyAlignment="1">
      <alignment horizontal="right" vertical="center" wrapText="1"/>
    </xf>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175" fontId="111" fillId="68" borderId="76" xfId="20514" applyNumberFormat="1" applyFont="1" applyFill="1" applyBorder="1" applyAlignment="1">
      <alignment horizontal="right" vertical="center" wrapText="1"/>
    </xf>
    <xf numFmtId="0" fontId="111" fillId="0" borderId="76" xfId="0" applyFont="1" applyFill="1" applyBorder="1" applyAlignment="1">
      <alignment horizontal="center" vertical="center" wrapText="1"/>
    </xf>
    <xf numFmtId="0" fontId="111" fillId="0" borderId="76" xfId="0" quotePrefix="1"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vertical="center" wrapText="1"/>
    </xf>
    <xf numFmtId="175" fontId="81" fillId="0" borderId="76" xfId="20514" applyNumberFormat="1" applyFont="1" applyFill="1" applyBorder="1" applyAlignment="1">
      <alignment horizontal="right" vertical="center" wrapText="1"/>
    </xf>
    <xf numFmtId="0" fontId="81" fillId="0" borderId="76" xfId="20517" applyFont="1" applyFill="1" applyBorder="1" applyAlignment="1">
      <alignment horizontal="center" vertical="center" wrapText="1"/>
    </xf>
    <xf numFmtId="0" fontId="81" fillId="0" borderId="76" xfId="20517" quotePrefix="1" applyFont="1" applyFill="1" applyBorder="1" applyAlignment="1">
      <alignment horizontal="center" vertical="center" wrapText="1"/>
    </xf>
    <xf numFmtId="0" fontId="81" fillId="0" borderId="76" xfId="0" quotePrefix="1" applyFont="1" applyFill="1" applyBorder="1" applyAlignment="1">
      <alignment vertical="center" wrapText="1"/>
    </xf>
    <xf numFmtId="0" fontId="111" fillId="0" borderId="76" xfId="0" applyFont="1" applyFill="1" applyBorder="1" applyAlignment="1">
      <alignment horizontal="left" vertical="center" wrapText="1"/>
    </xf>
    <xf numFmtId="175" fontId="81" fillId="0" borderId="76" xfId="20514" quotePrefix="1" applyNumberFormat="1" applyFont="1" applyFill="1" applyBorder="1" applyAlignment="1">
      <alignment horizontal="right" vertical="center" wrapText="1"/>
    </xf>
    <xf numFmtId="0" fontId="81" fillId="0" borderId="76" xfId="0" applyFont="1" applyFill="1" applyBorder="1" applyAlignment="1">
      <alignment horizontal="center" vertical="center" wrapText="1"/>
    </xf>
    <xf numFmtId="0" fontId="111" fillId="0" borderId="76" xfId="0" quotePrefix="1" applyFont="1" applyFill="1" applyBorder="1" applyAlignment="1">
      <alignment vertical="center" wrapText="1"/>
    </xf>
    <xf numFmtId="175" fontId="281" fillId="0" borderId="76" xfId="20514" applyNumberFormat="1" applyFont="1" applyFill="1" applyBorder="1" applyAlignment="1">
      <alignment horizontal="right" vertical="center" wrapText="1"/>
    </xf>
    <xf numFmtId="175" fontId="81" fillId="66" borderId="76" xfId="20514" applyNumberFormat="1" applyFont="1" applyFill="1" applyBorder="1" applyAlignment="1">
      <alignment horizontal="right" vertical="center" wrapText="1"/>
    </xf>
    <xf numFmtId="0" fontId="111" fillId="0" borderId="76" xfId="20517" applyFont="1" applyFill="1" applyBorder="1" applyAlignment="1">
      <alignment horizontal="justify" vertical="center" wrapText="1"/>
    </xf>
    <xf numFmtId="0" fontId="111" fillId="0" borderId="76"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81" fillId="0" borderId="76"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3" fontId="81" fillId="0" borderId="76" xfId="20518" quotePrefix="1" applyNumberFormat="1" applyFont="1" applyFill="1" applyBorder="1" applyAlignment="1">
      <alignment horizontal="center" vertical="center" wrapText="1"/>
    </xf>
    <xf numFmtId="0" fontId="81" fillId="0" borderId="76" xfId="0" quotePrefix="1" applyFont="1" applyFill="1" applyBorder="1" applyAlignment="1">
      <alignment horizontal="center" vertical="center"/>
    </xf>
    <xf numFmtId="0" fontId="81" fillId="0" borderId="76" xfId="0" applyFont="1" applyFill="1" applyBorder="1" applyAlignment="1">
      <alignment horizontal="left" vertical="center" wrapText="1"/>
    </xf>
    <xf numFmtId="3" fontId="81" fillId="0" borderId="76" xfId="20518" applyNumberFormat="1" applyFont="1" applyFill="1" applyBorder="1" applyAlignment="1">
      <alignment horizontal="center" vertical="center" wrapText="1"/>
    </xf>
    <xf numFmtId="3" fontId="81" fillId="0" borderId="76" xfId="20518" applyNumberFormat="1" applyFont="1" applyFill="1" applyBorder="1" applyAlignment="1">
      <alignment horizontal="left" vertical="center" wrapText="1"/>
    </xf>
    <xf numFmtId="1" fontId="81" fillId="0" borderId="76" xfId="20518" applyNumberFormat="1" applyFont="1" applyFill="1" applyBorder="1" applyAlignment="1">
      <alignment horizontal="center" vertical="center" wrapText="1"/>
    </xf>
    <xf numFmtId="355" fontId="81" fillId="0" borderId="76" xfId="0" applyNumberFormat="1" applyFont="1" applyFill="1" applyBorder="1" applyAlignment="1">
      <alignment vertical="center" wrapText="1"/>
    </xf>
    <xf numFmtId="1" fontId="81" fillId="0" borderId="76" xfId="20518" applyNumberFormat="1" applyFont="1" applyFill="1" applyBorder="1" applyAlignment="1">
      <alignment horizontal="left" vertical="center" wrapText="1"/>
    </xf>
    <xf numFmtId="1" fontId="81" fillId="0" borderId="76" xfId="20518" quotePrefix="1" applyNumberFormat="1" applyFont="1" applyFill="1" applyBorder="1" applyAlignment="1">
      <alignment horizontal="center" vertical="center" wrapText="1"/>
    </xf>
    <xf numFmtId="1" fontId="81" fillId="0" borderId="76" xfId="20518" applyNumberFormat="1" applyFont="1" applyFill="1" applyBorder="1" applyAlignment="1">
      <alignment vertical="center" wrapText="1"/>
    </xf>
    <xf numFmtId="355" fontId="81" fillId="0" borderId="76" xfId="0" applyNumberFormat="1" applyFont="1" applyFill="1" applyBorder="1" applyAlignment="1">
      <alignment horizontal="left" vertical="center" wrapText="1"/>
    </xf>
    <xf numFmtId="355" fontId="81" fillId="0" borderId="76" xfId="0" applyNumberFormat="1" applyFont="1" applyFill="1" applyBorder="1" applyAlignment="1">
      <alignment horizontal="center" vertical="center" wrapText="1"/>
    </xf>
    <xf numFmtId="0" fontId="81" fillId="68" borderId="76" xfId="0" quotePrefix="1" applyFont="1" applyFill="1" applyBorder="1" applyAlignment="1">
      <alignment horizontal="center" vertical="center"/>
    </xf>
    <xf numFmtId="1" fontId="81" fillId="68" borderId="76" xfId="20518" applyNumberFormat="1" applyFont="1" applyFill="1" applyBorder="1" applyAlignment="1">
      <alignment vertical="center" wrapText="1"/>
    </xf>
    <xf numFmtId="0" fontId="81" fillId="68" borderId="76" xfId="0" applyFont="1" applyFill="1" applyBorder="1" applyAlignment="1">
      <alignment horizontal="center" vertical="center" wrapText="1"/>
    </xf>
    <xf numFmtId="0" fontId="81" fillId="68" borderId="76" xfId="0" quotePrefix="1" applyFont="1" applyFill="1" applyBorder="1" applyAlignment="1">
      <alignment horizontal="center" vertical="center" wrapText="1"/>
    </xf>
    <xf numFmtId="175" fontId="81" fillId="68" borderId="76" xfId="20514" applyNumberFormat="1" applyFont="1" applyFill="1" applyBorder="1" applyAlignment="1">
      <alignment horizontal="right" vertical="center" wrapText="1"/>
    </xf>
    <xf numFmtId="1" fontId="81" fillId="68" borderId="76" xfId="20518" applyNumberFormat="1" applyFont="1" applyFill="1" applyBorder="1" applyAlignment="1">
      <alignment horizontal="center" vertical="center" wrapText="1"/>
    </xf>
    <xf numFmtId="0" fontId="81" fillId="0" borderId="79" xfId="0" applyFont="1" applyFill="1" applyBorder="1" applyAlignment="1">
      <alignment vertical="center" wrapText="1"/>
    </xf>
    <xf numFmtId="175" fontId="0" fillId="0" borderId="0" xfId="0" applyNumberFormat="1" applyFont="1"/>
    <xf numFmtId="0" fontId="81" fillId="0" borderId="9" xfId="0" applyFont="1" applyFill="1" applyBorder="1" applyAlignment="1">
      <alignment horizontal="center" vertical="center" wrapText="1"/>
    </xf>
    <xf numFmtId="0" fontId="83" fillId="0" borderId="76" xfId="0" applyFont="1" applyFill="1" applyBorder="1"/>
    <xf numFmtId="169" fontId="83" fillId="0" borderId="76" xfId="20514" applyFont="1" applyFill="1" applyBorder="1"/>
    <xf numFmtId="367" fontId="83" fillId="0" borderId="76" xfId="20514" applyNumberFormat="1" applyFont="1" applyFill="1" applyBorder="1"/>
    <xf numFmtId="169" fontId="264" fillId="0" borderId="76" xfId="20514" applyFont="1" applyFill="1" applyBorder="1"/>
    <xf numFmtId="0" fontId="264" fillId="0" borderId="76" xfId="0" applyFont="1" applyFill="1" applyBorder="1"/>
    <xf numFmtId="367" fontId="264" fillId="0" borderId="76" xfId="20514" applyNumberFormat="1" applyFont="1" applyFill="1" applyBorder="1"/>
    <xf numFmtId="0" fontId="111" fillId="67" borderId="76" xfId="0" applyFont="1" applyFill="1" applyBorder="1" applyAlignment="1">
      <alignment horizontal="center" vertical="center" wrapText="1"/>
    </xf>
    <xf numFmtId="0" fontId="111" fillId="67" borderId="76" xfId="0" applyFont="1" applyFill="1" applyBorder="1" applyAlignment="1">
      <alignment vertical="center" wrapText="1"/>
    </xf>
    <xf numFmtId="175" fontId="111" fillId="67" borderId="76" xfId="20514" applyNumberFormat="1" applyFont="1" applyFill="1" applyBorder="1" applyAlignment="1">
      <alignment horizontal="right" vertical="center" wrapText="1"/>
    </xf>
    <xf numFmtId="169" fontId="81" fillId="0" borderId="76" xfId="20514" applyFont="1" applyFill="1" applyBorder="1" applyAlignment="1">
      <alignment horizontal="right" vertical="center" wrapText="1"/>
    </xf>
    <xf numFmtId="169" fontId="83" fillId="0" borderId="76" xfId="0" applyNumberFormat="1" applyFont="1" applyFill="1" applyBorder="1"/>
    <xf numFmtId="169" fontId="264" fillId="0" borderId="76" xfId="0" applyNumberFormat="1" applyFont="1" applyFill="1" applyBorder="1"/>
    <xf numFmtId="367" fontId="36" fillId="0" borderId="76" xfId="20514" applyNumberFormat="1" applyFont="1" applyFill="1" applyBorder="1" applyAlignment="1">
      <alignment horizontal="right" vertical="center" wrapText="1"/>
    </xf>
    <xf numFmtId="367" fontId="264" fillId="66" borderId="76" xfId="20514" applyNumberFormat="1" applyFont="1" applyFill="1" applyBorder="1" applyAlignment="1">
      <alignment horizontal="center" vertical="center" wrapText="1"/>
    </xf>
    <xf numFmtId="0" fontId="36" fillId="66" borderId="76" xfId="0" applyFont="1" applyFill="1" applyBorder="1" applyAlignment="1">
      <alignment horizontal="center" vertical="center" wrapText="1"/>
    </xf>
    <xf numFmtId="169" fontId="261" fillId="0" borderId="77" xfId="20514" applyNumberFormat="1"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169" fontId="261" fillId="0" borderId="79" xfId="20514" applyNumberFormat="1" applyFont="1" applyFill="1" applyBorder="1" applyAlignment="1">
      <alignment horizontal="right" vertical="center" wrapText="1"/>
    </xf>
    <xf numFmtId="0" fontId="261" fillId="67" borderId="79" xfId="20516" applyFont="1" applyFill="1" applyBorder="1" applyAlignment="1">
      <alignment horizontal="center" vertical="center" wrapText="1"/>
    </xf>
    <xf numFmtId="3" fontId="261" fillId="67"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69"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69" fontId="260" fillId="0" borderId="61" xfId="20514" applyNumberFormat="1"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69" fontId="282"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69" borderId="21" xfId="20514" applyNumberFormat="1" applyFont="1" applyFill="1" applyBorder="1" applyAlignment="1">
      <alignment horizontal="right" vertical="center"/>
    </xf>
    <xf numFmtId="169"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69" fontId="260" fillId="0" borderId="61" xfId="20514" quotePrefix="1" applyNumberFormat="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169" fontId="260" fillId="0" borderId="81" xfId="20514" applyNumberFormat="1" applyFont="1" applyFill="1" applyBorder="1" applyAlignment="1">
      <alignment horizontal="right" vertical="center"/>
    </xf>
    <xf numFmtId="0" fontId="36" fillId="0" borderId="81" xfId="20514" applyNumberFormat="1" applyFont="1" applyFill="1" applyBorder="1" applyAlignment="1">
      <alignment horizontal="right" vertical="center"/>
    </xf>
    <xf numFmtId="169" fontId="260" fillId="0" borderId="81" xfId="20514" quotePrefix="1" applyNumberFormat="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169" fontId="262" fillId="0" borderId="81" xfId="20514" applyNumberFormat="1" applyFont="1" applyFill="1" applyBorder="1" applyAlignment="1">
      <alignment horizontal="right" vertical="center"/>
    </xf>
    <xf numFmtId="0"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0" fontId="260" fillId="0" borderId="81" xfId="20514" quotePrefix="1" applyNumberFormat="1" applyFont="1" applyFill="1" applyBorder="1" applyAlignment="1">
      <alignment horizontal="right" vertical="center"/>
    </xf>
    <xf numFmtId="175" fontId="36" fillId="66" borderId="81" xfId="20514" applyNumberFormat="1" applyFont="1" applyFill="1" applyBorder="1" applyAlignment="1">
      <alignment horizontal="left" vertical="center" wrapText="1"/>
    </xf>
    <xf numFmtId="175"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169" fontId="260" fillId="0" borderId="76" xfId="20514" applyNumberFormat="1" applyFont="1" applyFill="1" applyBorder="1" applyAlignment="1">
      <alignment horizontal="right"/>
    </xf>
    <xf numFmtId="0" fontId="261" fillId="67" borderId="76" xfId="20516" applyFont="1" applyFill="1" applyBorder="1" applyAlignment="1">
      <alignment horizontal="left" vertical="center" wrapText="1"/>
    </xf>
    <xf numFmtId="0" fontId="261" fillId="67" borderId="76" xfId="20516" applyFont="1" applyFill="1" applyBorder="1" applyAlignment="1">
      <alignment horizontal="center" vertical="center" wrapText="1"/>
    </xf>
    <xf numFmtId="3" fontId="262" fillId="67"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Fill="1" applyBorder="1" applyAlignment="1">
      <alignment horizontal="right" vertical="center"/>
    </xf>
    <xf numFmtId="169" fontId="260" fillId="0" borderId="76" xfId="20514" applyNumberFormat="1" applyFont="1" applyFill="1" applyBorder="1" applyAlignment="1">
      <alignment horizontal="right" vertical="center"/>
    </xf>
    <xf numFmtId="169" fontId="260" fillId="0" borderId="76" xfId="20514" quotePrefix="1" applyNumberFormat="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169" fontId="262" fillId="0" borderId="76" xfId="20514" applyNumberFormat="1" applyFont="1" applyFill="1" applyBorder="1" applyAlignment="1">
      <alignment horizontal="right" vertical="center"/>
    </xf>
    <xf numFmtId="0" fontId="261" fillId="0" borderId="81" xfId="2612" applyFont="1" applyFill="1" applyBorder="1" applyAlignment="1">
      <alignment horizontal="center" vertical="center"/>
    </xf>
    <xf numFmtId="0" fontId="36" fillId="0" borderId="76" xfId="0" applyFont="1" applyFill="1" applyBorder="1" applyAlignment="1">
      <alignment horizontal="center" vertical="center" wrapText="1"/>
    </xf>
    <xf numFmtId="3" fontId="261" fillId="0" borderId="76" xfId="2612" applyNumberFormat="1" applyFont="1" applyBorder="1" applyAlignment="1">
      <alignment horizontal="right" vertical="center"/>
    </xf>
    <xf numFmtId="169" fontId="261" fillId="0" borderId="76" xfId="20514" applyNumberFormat="1"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Fill="1" applyBorder="1" applyAlignment="1">
      <alignment horizontal="left" vertical="center" wrapText="1"/>
    </xf>
    <xf numFmtId="0" fontId="36" fillId="0" borderId="76" xfId="20513" applyFont="1" applyFill="1" applyBorder="1" applyAlignment="1">
      <alignment horizontal="center" vertical="center" wrapText="1"/>
    </xf>
    <xf numFmtId="3" fontId="36" fillId="0" borderId="76" xfId="2612" applyNumberFormat="1" applyFont="1" applyFill="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Fill="1" applyBorder="1" applyAlignment="1">
      <alignment horizontal="center" vertical="center"/>
    </xf>
    <xf numFmtId="0" fontId="36" fillId="0" borderId="76" xfId="2612" applyFont="1" applyFill="1" applyBorder="1" applyAlignment="1">
      <alignment horizontal="center" vertical="center" wrapText="1"/>
    </xf>
    <xf numFmtId="0" fontId="260" fillId="0" borderId="76" xfId="0" applyFont="1" applyFill="1" applyBorder="1"/>
    <xf numFmtId="0" fontId="260" fillId="0" borderId="76" xfId="20514" applyNumberFormat="1" applyFont="1" applyFill="1" applyBorder="1" applyAlignment="1">
      <alignment horizontal="right"/>
    </xf>
    <xf numFmtId="169" fontId="260" fillId="0" borderId="76" xfId="20514" quotePrefix="1" applyNumberFormat="1" applyFont="1" applyFill="1" applyBorder="1" applyAlignment="1">
      <alignment horizontal="right"/>
    </xf>
    <xf numFmtId="0" fontId="36" fillId="0" borderId="76" xfId="2612" quotePrefix="1" applyFont="1" applyFill="1" applyBorder="1" applyAlignment="1">
      <alignment horizontal="center" vertical="center"/>
    </xf>
    <xf numFmtId="175" fontId="36" fillId="0" borderId="76" xfId="20514" applyNumberFormat="1" applyFont="1" applyFill="1" applyBorder="1" applyAlignment="1">
      <alignment horizontal="left" vertical="center" wrapText="1"/>
    </xf>
    <xf numFmtId="175" fontId="36" fillId="0" borderId="76" xfId="20514" applyNumberFormat="1" applyFont="1" applyFill="1" applyBorder="1" applyAlignment="1">
      <alignment horizontal="center" vertical="center" wrapText="1"/>
    </xf>
    <xf numFmtId="0" fontId="36" fillId="0" borderId="76" xfId="0" applyFont="1" applyFill="1" applyBorder="1" applyAlignment="1">
      <alignment vertical="center" wrapText="1"/>
    </xf>
    <xf numFmtId="0" fontId="261" fillId="66" borderId="76" xfId="0" applyFont="1" applyFill="1" applyBorder="1" applyAlignment="1">
      <alignment vertical="center" wrapText="1"/>
    </xf>
    <xf numFmtId="0" fontId="261" fillId="0" borderId="76" xfId="20513" applyFont="1" applyFill="1" applyBorder="1" applyAlignment="1">
      <alignment horizontal="left" vertical="center" wrapText="1"/>
    </xf>
    <xf numFmtId="0" fontId="261" fillId="0" borderId="76" xfId="2612" applyFont="1" applyFill="1" applyBorder="1" applyAlignment="1">
      <alignment horizontal="center" vertical="center"/>
    </xf>
    <xf numFmtId="0" fontId="261" fillId="0" borderId="76" xfId="2612" applyFont="1" applyFill="1" applyBorder="1" applyAlignment="1">
      <alignment horizontal="justify" vertical="center" wrapText="1"/>
    </xf>
    <xf numFmtId="0" fontId="261" fillId="0" borderId="76" xfId="2612" applyFont="1" applyFill="1" applyBorder="1" applyAlignment="1">
      <alignment horizontal="center" vertical="center" wrapText="1"/>
    </xf>
    <xf numFmtId="3" fontId="261" fillId="0" borderId="76" xfId="2612" applyNumberFormat="1" applyFont="1" applyFill="1" applyBorder="1" applyAlignment="1">
      <alignment horizontal="right" vertical="center" wrapText="1"/>
    </xf>
    <xf numFmtId="169" fontId="261" fillId="0" borderId="76" xfId="20514" applyNumberFormat="1" applyFont="1" applyFill="1" applyBorder="1" applyAlignment="1">
      <alignment horizontal="right" vertical="center" wrapText="1"/>
    </xf>
    <xf numFmtId="0" fontId="261" fillId="0" borderId="76" xfId="20514" applyNumberFormat="1" applyFont="1" applyFill="1" applyBorder="1" applyAlignment="1">
      <alignment horizontal="right" vertical="center" wrapText="1"/>
    </xf>
    <xf numFmtId="169" fontId="261" fillId="0" borderId="76" xfId="2612" applyNumberFormat="1" applyFont="1" applyFill="1" applyBorder="1" applyAlignment="1">
      <alignment horizontal="right" vertical="center" wrapText="1"/>
    </xf>
    <xf numFmtId="169" fontId="261" fillId="0" borderId="76" xfId="20514" applyFont="1" applyFill="1" applyBorder="1" applyAlignment="1">
      <alignment horizontal="right" vertical="center" wrapText="1"/>
    </xf>
    <xf numFmtId="0" fontId="261" fillId="0" borderId="76" xfId="20513" applyFont="1" applyFill="1" applyBorder="1" applyAlignment="1">
      <alignment horizontal="center" vertical="center" wrapText="1"/>
    </xf>
    <xf numFmtId="169" fontId="262" fillId="0" borderId="76" xfId="20514" quotePrefix="1" applyNumberFormat="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Fill="1" applyBorder="1" applyAlignment="1">
      <alignment horizontal="center" vertical="center" wrapText="1"/>
    </xf>
    <xf numFmtId="367" fontId="269" fillId="0" borderId="76" xfId="20514" applyNumberFormat="1" applyFont="1" applyFill="1" applyBorder="1" applyAlignment="1">
      <alignment horizontal="center" vertical="center"/>
    </xf>
    <xf numFmtId="3" fontId="264" fillId="0" borderId="76" xfId="20514" applyNumberFormat="1" applyFont="1" applyFill="1" applyBorder="1" applyAlignment="1">
      <alignment horizontal="center" vertical="center" wrapText="1"/>
    </xf>
    <xf numFmtId="3" fontId="264" fillId="0" borderId="76" xfId="20514" applyNumberFormat="1" applyFont="1" applyFill="1" applyBorder="1" applyAlignment="1">
      <alignment horizontal="right" vertical="center" wrapText="1"/>
    </xf>
    <xf numFmtId="0" fontId="272" fillId="0" borderId="0" xfId="0" applyFont="1" applyFill="1"/>
    <xf numFmtId="0" fontId="83" fillId="0" borderId="76" xfId="20513" applyFont="1" applyFill="1" applyBorder="1" applyAlignment="1">
      <alignment horizontal="left" vertical="center" wrapText="1"/>
    </xf>
    <xf numFmtId="0" fontId="81" fillId="0" borderId="76" xfId="20513" applyFont="1" applyFill="1" applyBorder="1" applyAlignment="1">
      <alignment horizontal="center" vertical="center" wrapText="1"/>
    </xf>
    <xf numFmtId="0" fontId="264" fillId="0" borderId="76" xfId="2612" applyFont="1" applyFill="1" applyBorder="1" applyAlignment="1">
      <alignment horizontal="center" vertical="center"/>
    </xf>
    <xf numFmtId="0" fontId="81" fillId="0" borderId="76" xfId="2612" applyFont="1" applyFill="1" applyBorder="1" applyAlignment="1">
      <alignment horizontal="center" vertical="center" wrapText="1"/>
    </xf>
    <xf numFmtId="0" fontId="273" fillId="0" borderId="0" xfId="0" applyFont="1" applyFill="1"/>
    <xf numFmtId="0" fontId="83" fillId="0" borderId="76" xfId="2612" quotePrefix="1" applyFont="1" applyFill="1" applyBorder="1" applyAlignment="1">
      <alignment horizontal="center" vertical="center"/>
    </xf>
    <xf numFmtId="367" fontId="227" fillId="0" borderId="76" xfId="20514" applyNumberFormat="1" applyFont="1" applyFill="1" applyBorder="1" applyAlignment="1">
      <alignment horizontal="center" vertical="center"/>
    </xf>
    <xf numFmtId="3" fontId="83" fillId="0" borderId="76" xfId="20514" applyNumberFormat="1" applyFont="1" applyFill="1" applyBorder="1" applyAlignment="1">
      <alignment horizontal="center" vertical="center" wrapText="1"/>
    </xf>
    <xf numFmtId="3" fontId="83" fillId="0" borderId="76" xfId="20514" applyNumberFormat="1" applyFont="1" applyFill="1" applyBorder="1" applyAlignment="1">
      <alignment horizontal="right" vertical="center" wrapText="1"/>
    </xf>
    <xf numFmtId="0" fontId="264" fillId="0" borderId="76" xfId="20516" applyFont="1" applyFill="1" applyBorder="1" applyAlignment="1">
      <alignment horizontal="center" vertical="center" wrapText="1"/>
    </xf>
    <xf numFmtId="0" fontId="83" fillId="0" borderId="76" xfId="20516" applyFont="1" applyFill="1" applyBorder="1" applyAlignment="1">
      <alignment horizontal="center" vertical="center" wrapText="1"/>
    </xf>
    <xf numFmtId="0" fontId="83" fillId="0" borderId="76" xfId="2612" applyFont="1" applyFill="1" applyBorder="1" applyAlignment="1">
      <alignment horizontal="center" vertical="center"/>
    </xf>
    <xf numFmtId="3" fontId="83" fillId="0" borderId="76" xfId="2612" applyNumberFormat="1" applyFont="1" applyFill="1" applyBorder="1" applyAlignment="1">
      <alignment horizontal="center" vertical="center" wrapText="1"/>
    </xf>
    <xf numFmtId="3" fontId="83" fillId="0" borderId="76" xfId="2612" applyNumberFormat="1" applyFont="1" applyFill="1" applyBorder="1" applyAlignment="1">
      <alignment horizontal="right" vertical="center" wrapText="1"/>
    </xf>
    <xf numFmtId="0" fontId="264" fillId="0" borderId="76" xfId="2612" quotePrefix="1" applyFont="1" applyFill="1" applyBorder="1" applyAlignment="1">
      <alignment horizontal="center" vertical="center"/>
    </xf>
    <xf numFmtId="0" fontId="264" fillId="0" borderId="76" xfId="2612" applyFont="1" applyFill="1" applyBorder="1" applyAlignment="1">
      <alignment horizontal="justify" vertical="center" wrapText="1"/>
    </xf>
    <xf numFmtId="367" fontId="264" fillId="0" borderId="76" xfId="20514" applyNumberFormat="1" applyFont="1" applyFill="1" applyBorder="1" applyAlignment="1">
      <alignment horizontal="center" vertical="center" wrapText="1"/>
    </xf>
    <xf numFmtId="3" fontId="264" fillId="0" borderId="76" xfId="2612" applyNumberFormat="1" applyFont="1" applyFill="1" applyBorder="1" applyAlignment="1">
      <alignment horizontal="right" vertical="center" wrapText="1"/>
    </xf>
    <xf numFmtId="0" fontId="83" fillId="0" borderId="76" xfId="2612" applyFont="1" applyFill="1" applyBorder="1" applyAlignment="1">
      <alignment horizontal="justify" vertical="center" wrapText="1"/>
    </xf>
    <xf numFmtId="0" fontId="277" fillId="0" borderId="76" xfId="2612" quotePrefix="1" applyFont="1" applyFill="1" applyBorder="1" applyAlignment="1">
      <alignment horizontal="center" vertical="center"/>
    </xf>
    <xf numFmtId="0" fontId="277" fillId="0" borderId="76" xfId="2612" applyFont="1" applyFill="1" applyBorder="1" applyAlignment="1">
      <alignment horizontal="justify" vertical="center" wrapText="1"/>
    </xf>
    <xf numFmtId="0" fontId="278" fillId="0" borderId="76" xfId="2612" applyFont="1" applyFill="1" applyBorder="1" applyAlignment="1">
      <alignment horizontal="center" vertical="center" wrapText="1"/>
    </xf>
    <xf numFmtId="367" fontId="277" fillId="0" borderId="76" xfId="20514" applyNumberFormat="1" applyFont="1" applyFill="1" applyBorder="1" applyAlignment="1">
      <alignment horizontal="center" vertical="center" wrapText="1"/>
    </xf>
    <xf numFmtId="3" fontId="277" fillId="0" borderId="76" xfId="2612" applyNumberFormat="1" applyFont="1" applyFill="1" applyBorder="1" applyAlignment="1">
      <alignment horizontal="center" vertical="center" wrapText="1"/>
    </xf>
    <xf numFmtId="3" fontId="277" fillId="0" borderId="76" xfId="2612" applyNumberFormat="1" applyFont="1" applyFill="1" applyBorder="1" applyAlignment="1">
      <alignment horizontal="right" vertical="center" wrapText="1"/>
    </xf>
    <xf numFmtId="0" fontId="279" fillId="0" borderId="0" xfId="0" applyFont="1" applyFill="1"/>
    <xf numFmtId="175" fontId="83" fillId="0" borderId="0" xfId="0" applyNumberFormat="1" applyFont="1" applyFill="1"/>
    <xf numFmtId="169" fontId="261" fillId="0" borderId="68" xfId="20514" applyFont="1" applyFill="1" applyBorder="1" applyAlignment="1">
      <alignment horizontal="center" vertical="center"/>
    </xf>
    <xf numFmtId="0" fontId="283" fillId="0" borderId="76" xfId="2612" applyFont="1" applyBorder="1" applyAlignment="1">
      <alignment horizontal="center" vertical="center"/>
    </xf>
    <xf numFmtId="367" fontId="283" fillId="0" borderId="76" xfId="20514" applyNumberFormat="1" applyFont="1" applyBorder="1" applyAlignment="1">
      <alignment horizontal="center" vertical="center"/>
    </xf>
    <xf numFmtId="0" fontId="283" fillId="0" borderId="76" xfId="2612" applyFont="1" applyBorder="1" applyAlignment="1">
      <alignment vertical="center"/>
    </xf>
    <xf numFmtId="0" fontId="278" fillId="0" borderId="76" xfId="20513" applyFont="1" applyBorder="1" applyAlignment="1">
      <alignment horizontal="center" vertical="center" wrapText="1"/>
    </xf>
    <xf numFmtId="367" fontId="276" fillId="0" borderId="76" xfId="20514" applyNumberFormat="1" applyFont="1" applyBorder="1" applyAlignment="1">
      <alignment horizontal="center"/>
    </xf>
    <xf numFmtId="0" fontId="276" fillId="0" borderId="76" xfId="0" applyFont="1" applyBorder="1" applyAlignment="1">
      <alignment horizontal="center"/>
    </xf>
    <xf numFmtId="0" fontId="276" fillId="0" borderId="76" xfId="0" applyFont="1" applyBorder="1"/>
    <xf numFmtId="0" fontId="283" fillId="0" borderId="76" xfId="2612" applyFont="1" applyBorder="1" applyAlignment="1">
      <alignment horizontal="justify" vertical="center" wrapText="1"/>
    </xf>
    <xf numFmtId="0" fontId="283" fillId="0" borderId="76" xfId="20513" applyFont="1" applyBorder="1" applyAlignment="1">
      <alignment horizontal="left" vertical="center" wrapText="1"/>
    </xf>
    <xf numFmtId="0" fontId="269" fillId="68" borderId="76" xfId="0" applyFont="1" applyFill="1" applyBorder="1" applyAlignment="1">
      <alignment horizontal="center" vertical="center"/>
    </xf>
    <xf numFmtId="367" fontId="269" fillId="68" borderId="76" xfId="20514" applyNumberFormat="1" applyFont="1" applyFill="1" applyBorder="1" applyAlignment="1">
      <alignment horizontal="center" vertical="center"/>
    </xf>
    <xf numFmtId="3" fontId="269" fillId="68" borderId="76" xfId="20514" applyNumberFormat="1" applyFont="1" applyFill="1" applyBorder="1" applyAlignment="1">
      <alignment horizontal="right" vertical="center"/>
    </xf>
    <xf numFmtId="0" fontId="277" fillId="0" borderId="76" xfId="20516" applyFont="1" applyFill="1" applyBorder="1" applyAlignment="1">
      <alignment horizontal="center" vertical="center" wrapText="1"/>
    </xf>
    <xf numFmtId="0" fontId="265" fillId="0" borderId="76" xfId="2612" applyFont="1" applyFill="1" applyBorder="1" applyAlignment="1">
      <alignment horizontal="justify" vertical="center" wrapText="1"/>
    </xf>
    <xf numFmtId="0" fontId="265" fillId="0" borderId="76" xfId="2612" applyFont="1" applyFill="1" applyBorder="1" applyAlignment="1">
      <alignment horizontal="center" vertical="center" wrapText="1"/>
    </xf>
    <xf numFmtId="367" fontId="275" fillId="0" borderId="76" xfId="20514" applyNumberFormat="1" applyFont="1" applyFill="1" applyBorder="1" applyAlignment="1">
      <alignment horizontal="center" vertical="center"/>
    </xf>
    <xf numFmtId="3" fontId="277" fillId="0" borderId="76" xfId="20514" applyNumberFormat="1" applyFont="1" applyFill="1" applyBorder="1" applyAlignment="1">
      <alignment horizontal="center" vertical="center" wrapText="1"/>
    </xf>
    <xf numFmtId="3" fontId="277" fillId="0" borderId="76" xfId="20514" applyNumberFormat="1" applyFont="1" applyFill="1" applyBorder="1" applyAlignment="1">
      <alignment horizontal="right" vertical="center" wrapText="1"/>
    </xf>
    <xf numFmtId="0" fontId="276" fillId="0" borderId="0" xfId="0" applyFont="1" applyFill="1"/>
    <xf numFmtId="169" fontId="83" fillId="66" borderId="76" xfId="20514" applyFont="1" applyFill="1" applyBorder="1" applyAlignment="1">
      <alignment horizontal="center" vertical="center" wrapText="1"/>
    </xf>
    <xf numFmtId="169" fontId="272" fillId="0" borderId="0" xfId="20514" applyFont="1" applyAlignment="1">
      <alignment horizontal="center"/>
    </xf>
    <xf numFmtId="169" fontId="83" fillId="0" borderId="0" xfId="0" applyNumberFormat="1" applyFont="1" applyFill="1"/>
    <xf numFmtId="169" fontId="264" fillId="0" borderId="76" xfId="20514" applyNumberFormat="1" applyFont="1" applyFill="1" applyBorder="1"/>
    <xf numFmtId="0" fontId="280" fillId="66" borderId="0" xfId="0" applyFont="1" applyFill="1" applyAlignment="1">
      <alignment vertical="center"/>
    </xf>
    <xf numFmtId="169" fontId="83" fillId="0" borderId="68" xfId="20514" applyFont="1" applyFill="1" applyBorder="1" applyAlignment="1">
      <alignment vertical="center"/>
    </xf>
    <xf numFmtId="169" fontId="83" fillId="0" borderId="68" xfId="0" applyNumberFormat="1" applyFont="1" applyFill="1" applyBorder="1" applyAlignment="1">
      <alignment vertical="center"/>
    </xf>
    <xf numFmtId="169" fontId="264" fillId="0" borderId="68" xfId="0" applyNumberFormat="1" applyFont="1" applyFill="1" applyBorder="1" applyAlignment="1">
      <alignment vertical="center"/>
    </xf>
    <xf numFmtId="169" fontId="264" fillId="0" borderId="68" xfId="20514" applyFont="1" applyFill="1" applyBorder="1" applyAlignment="1">
      <alignment horizontal="center" vertical="center"/>
    </xf>
    <xf numFmtId="169" fontId="264" fillId="0" borderId="68" xfId="0" applyNumberFormat="1" applyFont="1" applyFill="1" applyBorder="1" applyAlignment="1">
      <alignment horizontal="center" vertical="center"/>
    </xf>
    <xf numFmtId="243" fontId="264" fillId="0" borderId="68" xfId="0" applyNumberFormat="1" applyFont="1" applyFill="1" applyBorder="1" applyAlignment="1">
      <alignment horizontal="center" vertical="center"/>
    </xf>
    <xf numFmtId="169" fontId="83" fillId="0" borderId="68" xfId="20514" applyFont="1" applyFill="1" applyBorder="1" applyAlignment="1">
      <alignment horizontal="center" vertical="center"/>
    </xf>
    <xf numFmtId="169" fontId="83" fillId="0" borderId="76" xfId="20514" applyFont="1" applyFill="1" applyBorder="1" applyAlignment="1">
      <alignment horizontal="center" vertical="center"/>
    </xf>
    <xf numFmtId="169" fontId="83" fillId="0" borderId="68" xfId="0" applyNumberFormat="1" applyFont="1" applyFill="1" applyBorder="1" applyAlignment="1">
      <alignment horizontal="center" vertical="center"/>
    </xf>
    <xf numFmtId="169" fontId="36" fillId="0" borderId="68" xfId="0" applyNumberFormat="1" applyFont="1" applyFill="1" applyBorder="1" applyAlignment="1">
      <alignment horizontal="center" vertical="center"/>
    </xf>
    <xf numFmtId="169" fontId="264" fillId="0" borderId="68" xfId="20514" applyNumberFormat="1" applyFont="1" applyFill="1" applyBorder="1" applyAlignment="1">
      <alignment vertical="center"/>
    </xf>
    <xf numFmtId="243" fontId="264" fillId="0" borderId="68" xfId="0" applyNumberFormat="1" applyFont="1" applyFill="1" applyBorder="1" applyAlignment="1">
      <alignment vertical="center"/>
    </xf>
    <xf numFmtId="169" fontId="83" fillId="0" borderId="76" xfId="20514" applyNumberFormat="1" applyFont="1" applyFill="1" applyBorder="1"/>
    <xf numFmtId="169" fontId="83" fillId="0" borderId="76" xfId="20514" applyNumberFormat="1" applyFont="1" applyFill="1" applyBorder="1" applyAlignment="1">
      <alignment vertical="center"/>
    </xf>
    <xf numFmtId="43" fontId="264" fillId="0" borderId="0" xfId="0" applyNumberFormat="1" applyFont="1" applyFill="1" applyAlignment="1">
      <alignment vertical="center"/>
    </xf>
    <xf numFmtId="169" fontId="269" fillId="0" borderId="76" xfId="20514" applyFont="1" applyFill="1" applyBorder="1" applyAlignment="1">
      <alignment horizontal="center" vertical="center"/>
    </xf>
    <xf numFmtId="169" fontId="264" fillId="0" borderId="68" xfId="20514" applyNumberFormat="1" applyFont="1" applyFill="1" applyBorder="1" applyAlignment="1">
      <alignment horizontal="center" vertical="center"/>
    </xf>
    <xf numFmtId="0" fontId="264" fillId="0" borderId="0" xfId="0" applyFont="1" applyFill="1" applyAlignment="1">
      <alignment horizontal="center" vertical="center"/>
    </xf>
    <xf numFmtId="0" fontId="81" fillId="0" borderId="76" xfId="0"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74" fillId="0" borderId="0" xfId="0" applyFont="1" applyFill="1" applyAlignment="1">
      <alignment horizontal="center" vertical="center"/>
    </xf>
    <xf numFmtId="0" fontId="81" fillId="0" borderId="79"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6" xfId="0" applyFont="1" applyFill="1" applyBorder="1" applyAlignment="1">
      <alignment horizontal="center" vertical="center" wrapText="1"/>
    </xf>
    <xf numFmtId="0" fontId="264" fillId="0" borderId="0" xfId="0" applyFont="1" applyFill="1" applyAlignment="1">
      <alignment horizontal="center" vertical="center"/>
    </xf>
    <xf numFmtId="0" fontId="81" fillId="0" borderId="79"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269" fillId="66" borderId="0" xfId="0" applyFont="1" applyFill="1" applyAlignment="1">
      <alignment horizontal="center" vertical="center" wrapText="1"/>
    </xf>
    <xf numFmtId="0" fontId="264" fillId="66" borderId="76" xfId="20516" applyFont="1" applyFill="1" applyBorder="1" applyAlignment="1">
      <alignment horizontal="center" vertical="center" wrapText="1"/>
    </xf>
    <xf numFmtId="0" fontId="276" fillId="0" borderId="8" xfId="0" applyFont="1" applyBorder="1" applyAlignment="1">
      <alignment horizontal="center"/>
    </xf>
    <xf numFmtId="367" fontId="264" fillId="66" borderId="77" xfId="20514" applyNumberFormat="1" applyFont="1" applyFill="1" applyBorder="1" applyAlignment="1">
      <alignment horizontal="center" vertical="center" wrapText="1"/>
    </xf>
    <xf numFmtId="367" fontId="264" fillId="66" borderId="52" xfId="20514" applyNumberFormat="1" applyFont="1" applyFill="1" applyBorder="1" applyAlignment="1">
      <alignment horizontal="center" vertical="center" wrapText="1"/>
    </xf>
    <xf numFmtId="367" fontId="264" fillId="66" borderId="78" xfId="20514" applyNumberFormat="1" applyFont="1" applyFill="1" applyBorder="1" applyAlignment="1">
      <alignment horizontal="center" vertical="center" wrapText="1"/>
    </xf>
    <xf numFmtId="0" fontId="264" fillId="0" borderId="77" xfId="0" applyFont="1" applyFill="1" applyBorder="1" applyAlignment="1">
      <alignment horizontal="center" vertical="center" wrapText="1"/>
    </xf>
    <xf numFmtId="0" fontId="264" fillId="0" borderId="52" xfId="0" applyFont="1" applyFill="1" applyBorder="1" applyAlignment="1">
      <alignment horizontal="center" vertical="center" wrapText="1"/>
    </xf>
    <xf numFmtId="0" fontId="264" fillId="0" borderId="78" xfId="0" applyFont="1" applyFill="1" applyBorder="1" applyAlignment="1">
      <alignment horizontal="center" vertical="center" wrapText="1"/>
    </xf>
    <xf numFmtId="169" fontId="264" fillId="0" borderId="76" xfId="20514" applyFont="1" applyFill="1" applyBorder="1" applyAlignment="1">
      <alignment horizontal="center" vertical="center" wrapText="1"/>
    </xf>
    <xf numFmtId="0" fontId="81" fillId="0" borderId="79" xfId="20513" applyFont="1" applyFill="1" applyBorder="1" applyAlignment="1">
      <alignment horizontal="center" vertical="center" wrapText="1"/>
    </xf>
    <xf numFmtId="0" fontId="81" fillId="0" borderId="9" xfId="20513"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0" fontId="81" fillId="68" borderId="79" xfId="0" applyFont="1" applyFill="1" applyBorder="1" applyAlignment="1">
      <alignment horizontal="center" vertical="center" wrapText="1"/>
    </xf>
    <xf numFmtId="0" fontId="81" fillId="68" borderId="9" xfId="0" applyFont="1" applyFill="1" applyBorder="1" applyAlignment="1">
      <alignment horizontal="center" vertical="center" wrapText="1"/>
    </xf>
    <xf numFmtId="0" fontId="264" fillId="0" borderId="79"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9"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xf numFmtId="0" fontId="269" fillId="68" borderId="77" xfId="0" applyFont="1" applyFill="1" applyBorder="1" applyAlignment="1">
      <alignment vertical="center" wrapText="1"/>
    </xf>
    <xf numFmtId="0" fontId="269" fillId="68" borderId="78" xfId="0" applyFont="1" applyFill="1" applyBorder="1" applyAlignment="1">
      <alignment vertical="center" wrapText="1"/>
    </xf>
    <xf numFmtId="0" fontId="269" fillId="68" borderId="76" xfId="0" applyFont="1" applyFill="1" applyBorder="1" applyAlignment="1">
      <alignment vertical="center" wrapText="1"/>
    </xf>
    <xf numFmtId="0" fontId="81" fillId="0" borderId="0" xfId="0" applyFont="1" applyFill="1" applyAlignment="1">
      <alignment horizontal="center" vertical="center"/>
    </xf>
    <xf numFmtId="0" fontId="83" fillId="0" borderId="0" xfId="0" applyFont="1" applyFill="1" applyAlignment="1">
      <alignment horizontal="center" vertical="center"/>
    </xf>
    <xf numFmtId="0" fontId="81" fillId="0" borderId="0" xfId="0" applyFont="1" applyFill="1" applyAlignment="1">
      <alignment vertical="center"/>
    </xf>
    <xf numFmtId="0" fontId="268" fillId="0" borderId="0" xfId="0" applyFont="1" applyFill="1" applyAlignment="1">
      <alignment vertical="center"/>
    </xf>
    <xf numFmtId="0" fontId="83" fillId="0" borderId="8" xfId="0" applyFont="1" applyFill="1" applyBorder="1" applyAlignment="1">
      <alignment vertical="center"/>
    </xf>
    <xf numFmtId="43" fontId="83" fillId="0" borderId="0" xfId="0" applyNumberFormat="1" applyFont="1" applyFill="1" applyAlignment="1">
      <alignment vertical="center"/>
    </xf>
    <xf numFmtId="169" fontId="83" fillId="0" borderId="0" xfId="20514" applyFont="1" applyFill="1" applyAlignment="1">
      <alignment vertical="center"/>
    </xf>
    <xf numFmtId="169" fontId="83" fillId="0" borderId="8" xfId="20514" applyFont="1" applyFill="1" applyBorder="1" applyAlignment="1">
      <alignment vertical="center"/>
    </xf>
    <xf numFmtId="49" fontId="264" fillId="0" borderId="68" xfId="20518" applyNumberFormat="1" applyFont="1" applyFill="1" applyBorder="1" applyAlignment="1">
      <alignment horizontal="center" vertical="center" wrapText="1"/>
    </xf>
    <xf numFmtId="3" fontId="264" fillId="0" borderId="68" xfId="20518" applyNumberFormat="1" applyFont="1" applyFill="1" applyBorder="1" applyAlignment="1">
      <alignment horizontal="center" vertical="center" wrapText="1"/>
    </xf>
    <xf numFmtId="3" fontId="111" fillId="0" borderId="69" xfId="20518" applyNumberFormat="1" applyFont="1" applyFill="1" applyBorder="1" applyAlignment="1">
      <alignment horizontal="center" vertical="center" wrapText="1"/>
    </xf>
    <xf numFmtId="3" fontId="264" fillId="0" borderId="69" xfId="20518" applyNumberFormat="1" applyFont="1" applyFill="1" applyBorder="1" applyAlignment="1">
      <alignment horizontal="center" vertical="center" wrapText="1"/>
    </xf>
    <xf numFmtId="3" fontId="111" fillId="0" borderId="68" xfId="20518" applyNumberFormat="1" applyFont="1" applyFill="1" applyBorder="1" applyAlignment="1">
      <alignment horizontal="center" vertical="center" wrapText="1"/>
    </xf>
    <xf numFmtId="3" fontId="264" fillId="0" borderId="70" xfId="20518" applyNumberFormat="1" applyFont="1" applyFill="1" applyBorder="1" applyAlignment="1">
      <alignment horizontal="center" vertical="center" wrapText="1"/>
    </xf>
    <xf numFmtId="3" fontId="264" fillId="0" borderId="71" xfId="20518" applyNumberFormat="1" applyFont="1" applyFill="1" applyBorder="1" applyAlignment="1">
      <alignment horizontal="center" vertical="center" wrapText="1"/>
    </xf>
    <xf numFmtId="0" fontId="269" fillId="0" borderId="53" xfId="0" applyFont="1" applyFill="1" applyBorder="1" applyAlignment="1">
      <alignment vertical="center"/>
    </xf>
    <xf numFmtId="0" fontId="269" fillId="0" borderId="71" xfId="0" applyFont="1" applyFill="1" applyBorder="1" applyAlignment="1">
      <alignment vertical="center"/>
    </xf>
    <xf numFmtId="3" fontId="264" fillId="0" borderId="70" xfId="20518" applyNumberFormat="1" applyFont="1" applyFill="1" applyBorder="1" applyAlignment="1">
      <alignment vertical="center" wrapText="1"/>
    </xf>
    <xf numFmtId="3" fontId="264" fillId="0" borderId="53" xfId="20518" applyNumberFormat="1" applyFont="1" applyFill="1" applyBorder="1" applyAlignment="1">
      <alignment horizontal="center" vertical="center" wrapText="1"/>
    </xf>
    <xf numFmtId="3" fontId="111" fillId="0" borderId="6" xfId="20518" applyNumberFormat="1" applyFont="1" applyFill="1" applyBorder="1" applyAlignment="1">
      <alignment horizontal="center" vertical="center" wrapText="1"/>
    </xf>
    <xf numFmtId="3" fontId="264" fillId="0" borderId="6" xfId="20518" applyNumberFormat="1" applyFont="1" applyFill="1" applyBorder="1" applyAlignment="1">
      <alignment horizontal="center" vertical="center" wrapText="1"/>
    </xf>
    <xf numFmtId="3" fontId="270" fillId="0" borderId="68" xfId="20518" applyNumberFormat="1" applyFont="1" applyFill="1" applyBorder="1" applyAlignment="1">
      <alignment horizontal="center" vertical="center" wrapText="1"/>
    </xf>
    <xf numFmtId="3" fontId="264" fillId="0" borderId="7" xfId="20518" applyNumberFormat="1" applyFont="1" applyFill="1" applyBorder="1" applyAlignment="1">
      <alignment horizontal="center" vertical="center" wrapText="1"/>
    </xf>
    <xf numFmtId="3" fontId="264" fillId="0" borderId="72" xfId="20518" applyNumberFormat="1" applyFont="1" applyFill="1" applyBorder="1" applyAlignment="1">
      <alignment horizontal="center" vertical="center" wrapText="1"/>
    </xf>
    <xf numFmtId="0" fontId="269" fillId="0" borderId="73" xfId="0" applyFont="1" applyFill="1" applyBorder="1" applyAlignment="1">
      <alignment vertical="center"/>
    </xf>
    <xf numFmtId="0" fontId="269" fillId="0" borderId="8" xfId="0" applyFont="1" applyFill="1" applyBorder="1" applyAlignment="1">
      <alignment vertical="center"/>
    </xf>
    <xf numFmtId="0" fontId="269" fillId="0" borderId="74" xfId="0" applyFont="1" applyFill="1" applyBorder="1" applyAlignment="1">
      <alignment vertical="center"/>
    </xf>
    <xf numFmtId="0" fontId="269" fillId="0" borderId="73" xfId="0" applyFont="1" applyFill="1" applyBorder="1" applyAlignment="1">
      <alignment vertical="center"/>
    </xf>
    <xf numFmtId="3" fontId="264" fillId="0" borderId="8" xfId="20518" applyNumberFormat="1" applyFont="1" applyFill="1" applyBorder="1" applyAlignment="1">
      <alignment horizontal="center" vertical="center" wrapText="1"/>
    </xf>
    <xf numFmtId="3" fontId="264" fillId="0" borderId="74" xfId="20518" applyNumberFormat="1" applyFont="1" applyFill="1" applyBorder="1" applyAlignment="1">
      <alignment horizontal="center" vertical="center" wrapText="1"/>
    </xf>
    <xf numFmtId="169" fontId="264" fillId="0" borderId="69" xfId="20514" applyFont="1" applyFill="1" applyBorder="1" applyAlignment="1">
      <alignment horizontal="center" vertical="center" wrapText="1"/>
    </xf>
    <xf numFmtId="3" fontId="111" fillId="0" borderId="9" xfId="20518" applyNumberFormat="1" applyFont="1" applyFill="1" applyBorder="1" applyAlignment="1">
      <alignment horizontal="center" vertical="center" wrapText="1"/>
    </xf>
    <xf numFmtId="3" fontId="264" fillId="0" borderId="9" xfId="20518" applyNumberFormat="1" applyFont="1" applyFill="1" applyBorder="1" applyAlignment="1">
      <alignment horizontal="center" vertical="center" wrapText="1"/>
    </xf>
    <xf numFmtId="0" fontId="271" fillId="0" borderId="68" xfId="1" applyFont="1" applyFill="1" applyBorder="1" applyAlignment="1">
      <alignment horizontal="center" vertical="center" wrapText="1"/>
    </xf>
    <xf numFmtId="3" fontId="264" fillId="0" borderId="68" xfId="20518" applyNumberFormat="1" applyFont="1" applyFill="1" applyBorder="1" applyAlignment="1">
      <alignment horizontal="center" vertical="center" wrapText="1"/>
    </xf>
    <xf numFmtId="3" fontId="83" fillId="0" borderId="68" xfId="20518" applyNumberFormat="1" applyFont="1" applyFill="1" applyBorder="1" applyAlignment="1">
      <alignment horizontal="center" vertical="center" wrapText="1"/>
    </xf>
    <xf numFmtId="169" fontId="83" fillId="0" borderId="68" xfId="20514" applyFont="1" applyFill="1" applyBorder="1" applyAlignment="1">
      <alignment horizontal="center" vertical="center" wrapText="1"/>
    </xf>
    <xf numFmtId="169" fontId="264" fillId="0" borderId="9" xfId="20514" applyFont="1" applyFill="1" applyBorder="1" applyAlignment="1">
      <alignment horizontal="center" vertical="center" wrapText="1"/>
    </xf>
    <xf numFmtId="169" fontId="83" fillId="0" borderId="68" xfId="20518" applyNumberFormat="1" applyFont="1" applyFill="1" applyBorder="1" applyAlignment="1">
      <alignment horizontal="center" vertical="center" wrapText="1"/>
    </xf>
    <xf numFmtId="0" fontId="264" fillId="0" borderId="68" xfId="20518" applyFont="1" applyFill="1" applyBorder="1" applyAlignment="1">
      <alignment horizontal="center" vertical="center" wrapText="1"/>
    </xf>
    <xf numFmtId="3" fontId="264" fillId="0" borderId="68" xfId="20518" quotePrefix="1" applyNumberFormat="1" applyFont="1" applyFill="1" applyBorder="1" applyAlignment="1">
      <alignment horizontal="center" vertical="center" wrapText="1"/>
    </xf>
    <xf numFmtId="3" fontId="111" fillId="0" borderId="68" xfId="20518" quotePrefix="1" applyNumberFormat="1" applyFont="1" applyFill="1" applyBorder="1" applyAlignment="1">
      <alignment horizontal="center" vertical="center" wrapText="1"/>
    </xf>
    <xf numFmtId="0" fontId="270" fillId="0" borderId="68" xfId="20518" applyFont="1" applyFill="1" applyBorder="1" applyAlignment="1">
      <alignment horizontal="center" vertical="center" wrapText="1"/>
    </xf>
    <xf numFmtId="169" fontId="264" fillId="0" borderId="68" xfId="20514" quotePrefix="1" applyFont="1" applyFill="1" applyBorder="1" applyAlignment="1">
      <alignment horizontal="center" vertical="center" wrapText="1"/>
    </xf>
    <xf numFmtId="169" fontId="264" fillId="0" borderId="68" xfId="20518" quotePrefix="1" applyNumberFormat="1" applyFont="1" applyFill="1" applyBorder="1" applyAlignment="1">
      <alignment horizontal="center" vertical="center" wrapText="1"/>
    </xf>
    <xf numFmtId="0" fontId="264" fillId="0" borderId="76" xfId="20518" applyFont="1" applyFill="1" applyBorder="1" applyAlignment="1">
      <alignment horizontal="center" vertical="center" wrapText="1"/>
    </xf>
    <xf numFmtId="3" fontId="264" fillId="0" borderId="76" xfId="20518" quotePrefix="1" applyNumberFormat="1" applyFont="1" applyFill="1" applyBorder="1" applyAlignment="1">
      <alignment horizontal="center" vertical="center" wrapText="1"/>
    </xf>
    <xf numFmtId="3" fontId="111" fillId="0" borderId="9" xfId="20518" quotePrefix="1" applyNumberFormat="1" applyFont="1" applyFill="1" applyBorder="1" applyAlignment="1">
      <alignment horizontal="center" vertical="center" wrapText="1"/>
    </xf>
    <xf numFmtId="0" fontId="264" fillId="0" borderId="9" xfId="20518" applyFont="1" applyFill="1" applyBorder="1" applyAlignment="1">
      <alignment horizontal="center" vertical="center" wrapText="1"/>
    </xf>
    <xf numFmtId="0" fontId="270" fillId="0" borderId="9" xfId="20518" applyFont="1" applyFill="1" applyBorder="1" applyAlignment="1">
      <alignment horizontal="center" vertical="center" wrapText="1"/>
    </xf>
    <xf numFmtId="3" fontId="264" fillId="0" borderId="9" xfId="20518" quotePrefix="1" applyNumberFormat="1" applyFont="1" applyFill="1" applyBorder="1" applyAlignment="1">
      <alignment horizontal="center" vertical="center" wrapText="1"/>
    </xf>
    <xf numFmtId="0" fontId="264" fillId="0" borderId="68" xfId="0" applyFont="1" applyFill="1" applyBorder="1" applyAlignment="1">
      <alignment horizontal="center" vertical="center"/>
    </xf>
    <xf numFmtId="0" fontId="264" fillId="0" borderId="68" xfId="0" applyFont="1" applyFill="1" applyBorder="1" applyAlignment="1">
      <alignment horizontal="center" vertical="center" wrapText="1"/>
    </xf>
    <xf numFmtId="0" fontId="111" fillId="0" borderId="68" xfId="0" applyFont="1" applyFill="1" applyBorder="1" applyAlignment="1">
      <alignment horizontal="center" vertical="center"/>
    </xf>
    <xf numFmtId="0" fontId="270" fillId="0" borderId="68" xfId="0" applyFont="1" applyFill="1" applyBorder="1" applyAlignment="1">
      <alignment horizontal="center" vertical="center"/>
    </xf>
    <xf numFmtId="0" fontId="264" fillId="0" borderId="68" xfId="0" applyFont="1" applyFill="1" applyBorder="1" applyAlignment="1">
      <alignment vertical="center" wrapText="1"/>
    </xf>
    <xf numFmtId="0" fontId="264" fillId="0" borderId="68" xfId="0" applyFont="1" applyFill="1" applyBorder="1" applyAlignment="1">
      <alignment vertical="center"/>
    </xf>
    <xf numFmtId="0" fontId="111" fillId="0" borderId="68" xfId="0" applyFont="1" applyFill="1" applyBorder="1" applyAlignment="1">
      <alignment vertical="center"/>
    </xf>
    <xf numFmtId="0" fontId="270" fillId="0" borderId="68" xfId="0" applyFont="1" applyFill="1" applyBorder="1" applyAlignment="1">
      <alignment vertical="center"/>
    </xf>
    <xf numFmtId="0" fontId="264" fillId="0" borderId="68" xfId="0" quotePrefix="1" applyFont="1" applyFill="1" applyBorder="1" applyAlignment="1">
      <alignment horizontal="center" vertical="center" wrapText="1"/>
    </xf>
    <xf numFmtId="0" fontId="81" fillId="0" borderId="68" xfId="0" applyFont="1" applyFill="1" applyBorder="1" applyAlignment="1">
      <alignment horizontal="center" vertical="center"/>
    </xf>
    <xf numFmtId="0" fontId="83" fillId="0" borderId="68" xfId="0" applyFont="1" applyFill="1" applyBorder="1" applyAlignment="1">
      <alignment horizontal="center" vertical="center"/>
    </xf>
    <xf numFmtId="0" fontId="83" fillId="0" borderId="68" xfId="0" applyFont="1" applyFill="1" applyBorder="1" applyAlignment="1">
      <alignment vertical="center"/>
    </xf>
    <xf numFmtId="0" fontId="81" fillId="0" borderId="68" xfId="0" applyFont="1" applyFill="1" applyBorder="1" applyAlignment="1">
      <alignment vertical="center"/>
    </xf>
    <xf numFmtId="0" fontId="268" fillId="0" borderId="68" xfId="0" applyFont="1" applyFill="1" applyBorder="1" applyAlignment="1">
      <alignment vertical="center"/>
    </xf>
    <xf numFmtId="169" fontId="264" fillId="0" borderId="68" xfId="20514" applyFont="1" applyFill="1" applyBorder="1" applyAlignment="1">
      <alignment horizontal="right" vertical="center" wrapText="1"/>
    </xf>
    <xf numFmtId="0" fontId="83" fillId="0" borderId="68" xfId="0" quotePrefix="1" applyFont="1" applyFill="1" applyBorder="1" applyAlignment="1">
      <alignment horizontal="center" vertical="center" wrapText="1"/>
    </xf>
    <xf numFmtId="0" fontId="83" fillId="0" borderId="68" xfId="0" applyFont="1" applyFill="1" applyBorder="1" applyAlignment="1">
      <alignment vertical="center" wrapText="1"/>
    </xf>
    <xf numFmtId="0" fontId="81" fillId="0" borderId="68" xfId="20517" applyFont="1" applyFill="1" applyBorder="1" applyAlignment="1">
      <alignment horizontal="center" vertical="center" wrapText="1"/>
    </xf>
    <xf numFmtId="0" fontId="264" fillId="0" borderId="68" xfId="0" quotePrefix="1" applyFont="1" applyFill="1" applyBorder="1" applyAlignment="1">
      <alignment vertical="center" wrapText="1"/>
    </xf>
    <xf numFmtId="0" fontId="81" fillId="0" borderId="68" xfId="20517" applyFont="1" applyFill="1" applyBorder="1" applyAlignment="1">
      <alignment horizontal="justify" vertical="center" wrapText="1"/>
    </xf>
    <xf numFmtId="0" fontId="83" fillId="0" borderId="68" xfId="0" quotePrefix="1" applyFont="1" applyFill="1" applyBorder="1" applyAlignment="1">
      <alignment horizontal="center" vertical="center"/>
    </xf>
    <xf numFmtId="0" fontId="83" fillId="0" borderId="68" xfId="0" applyFont="1" applyFill="1" applyBorder="1" applyAlignment="1">
      <alignment horizontal="left" vertical="center" wrapText="1"/>
    </xf>
    <xf numFmtId="0" fontId="81" fillId="0" borderId="69" xfId="0" applyFont="1" applyFill="1" applyBorder="1" applyAlignment="1">
      <alignment horizontal="center" vertical="center" wrapText="1"/>
    </xf>
    <xf numFmtId="0" fontId="83" fillId="0" borderId="68" xfId="0" applyFont="1" applyFill="1" applyBorder="1" applyAlignment="1">
      <alignment horizontal="center" vertical="center" wrapText="1"/>
    </xf>
    <xf numFmtId="0" fontId="36" fillId="0" borderId="68" xfId="0" applyFont="1" applyFill="1" applyBorder="1" applyAlignment="1">
      <alignment horizontal="center" vertical="center"/>
    </xf>
    <xf numFmtId="0" fontId="268" fillId="0" borderId="68" xfId="0" quotePrefix="1" applyFont="1" applyFill="1" applyBorder="1" applyAlignment="1">
      <alignment horizontal="center" vertical="center" wrapText="1"/>
    </xf>
    <xf numFmtId="243" fontId="83" fillId="0" borderId="68" xfId="20514" applyNumberFormat="1" applyFont="1" applyFill="1" applyBorder="1" applyAlignment="1">
      <alignment horizontal="center" vertical="center" wrapText="1"/>
    </xf>
    <xf numFmtId="0" fontId="83" fillId="0" borderId="68" xfId="0" quotePrefix="1" applyFont="1" applyFill="1" applyBorder="1" applyAlignment="1">
      <alignment horizontal="left" vertical="center" wrapText="1"/>
    </xf>
    <xf numFmtId="0" fontId="264" fillId="0" borderId="68" xfId="0" applyFont="1" applyFill="1" applyBorder="1" applyAlignment="1">
      <alignment horizontal="left" vertical="center"/>
    </xf>
    <xf numFmtId="0" fontId="268" fillId="0" borderId="68" xfId="0" applyFont="1" applyFill="1" applyBorder="1" applyAlignment="1">
      <alignment horizontal="center" vertical="center" wrapText="1"/>
    </xf>
    <xf numFmtId="0" fontId="264" fillId="0" borderId="68" xfId="0" applyFont="1" applyFill="1" applyBorder="1" applyAlignment="1">
      <alignment horizontal="left" vertical="center" wrapText="1"/>
    </xf>
    <xf numFmtId="0" fontId="83" fillId="0" borderId="68" xfId="0" quotePrefix="1" applyFont="1" applyFill="1" applyBorder="1" applyAlignment="1">
      <alignment vertical="center" wrapText="1"/>
    </xf>
    <xf numFmtId="0" fontId="83" fillId="0" borderId="68" xfId="20517" applyFont="1" applyFill="1" applyBorder="1" applyAlignment="1">
      <alignment horizontal="center" vertical="center" wrapText="1"/>
    </xf>
    <xf numFmtId="0" fontId="81" fillId="0" borderId="68" xfId="0" applyFont="1" applyFill="1" applyBorder="1" applyAlignment="1">
      <alignment horizontal="center" vertical="center" wrapText="1"/>
    </xf>
    <xf numFmtId="243" fontId="83" fillId="0" borderId="68" xfId="0" applyNumberFormat="1" applyFont="1" applyFill="1" applyBorder="1" applyAlignment="1">
      <alignment vertical="center"/>
    </xf>
    <xf numFmtId="175" fontId="36" fillId="0" borderId="68" xfId="0" applyNumberFormat="1" applyFont="1" applyFill="1" applyBorder="1" applyAlignment="1">
      <alignment horizontal="center" vertical="center"/>
    </xf>
    <xf numFmtId="0" fontId="268" fillId="0" borderId="68" xfId="0" applyFont="1" applyFill="1" applyBorder="1" applyAlignment="1">
      <alignment vertical="center" wrapText="1"/>
    </xf>
    <xf numFmtId="0" fontId="264" fillId="0" borderId="68" xfId="0" quotePrefix="1" applyFont="1" applyFill="1" applyBorder="1" applyAlignment="1">
      <alignment horizontal="center" vertical="center"/>
    </xf>
    <xf numFmtId="0" fontId="268" fillId="0" borderId="75" xfId="0" applyFont="1" applyFill="1" applyBorder="1" applyAlignment="1">
      <alignment horizontal="center" vertical="center" wrapText="1"/>
    </xf>
    <xf numFmtId="167" fontId="83" fillId="0" borderId="68" xfId="0" applyNumberFormat="1" applyFont="1" applyFill="1" applyBorder="1" applyAlignment="1">
      <alignment vertical="center"/>
    </xf>
    <xf numFmtId="0" fontId="81" fillId="0" borderId="68" xfId="0" quotePrefix="1" applyFont="1" applyFill="1" applyBorder="1" applyAlignment="1">
      <alignment horizontal="center" vertical="center" wrapText="1"/>
    </xf>
    <xf numFmtId="0" fontId="264" fillId="0" borderId="68" xfId="0" quotePrefix="1" applyFont="1" applyFill="1" applyBorder="1" applyAlignment="1">
      <alignment vertical="center"/>
    </xf>
    <xf numFmtId="0" fontId="83" fillId="0" borderId="68" xfId="0" quotePrefix="1" applyFont="1" applyFill="1" applyBorder="1" applyAlignment="1">
      <alignment vertical="center"/>
    </xf>
    <xf numFmtId="0" fontId="111" fillId="0" borderId="68" xfId="0" quotePrefix="1" applyFont="1" applyFill="1" applyBorder="1" applyAlignment="1">
      <alignment horizontal="center" vertical="center" wrapText="1"/>
    </xf>
    <xf numFmtId="0" fontId="111" fillId="0" borderId="68" xfId="0" applyFont="1" applyFill="1" applyBorder="1" applyAlignment="1">
      <alignment vertical="center" wrapText="1"/>
    </xf>
    <xf numFmtId="0" fontId="81" fillId="0" borderId="69" xfId="0" quotePrefix="1" applyFont="1" applyFill="1" applyBorder="1" applyAlignment="1">
      <alignment horizontal="center" vertical="center" wrapText="1"/>
    </xf>
    <xf numFmtId="169" fontId="83" fillId="0" borderId="76" xfId="20514" applyFont="1" applyFill="1" applyBorder="1" applyAlignment="1">
      <alignment vertical="center"/>
    </xf>
    <xf numFmtId="0" fontId="81" fillId="0" borderId="9" xfId="0" quotePrefix="1" applyFont="1" applyFill="1" applyBorder="1" applyAlignment="1">
      <alignment horizontal="center" vertical="center" wrapText="1"/>
    </xf>
    <xf numFmtId="169" fontId="264" fillId="0" borderId="76" xfId="20514" applyFont="1" applyFill="1" applyBorder="1" applyAlignment="1">
      <alignment vertical="center"/>
    </xf>
    <xf numFmtId="0" fontId="81" fillId="0" borderId="68" xfId="0" applyFont="1" applyFill="1" applyBorder="1" applyAlignment="1">
      <alignment vertical="center" wrapText="1"/>
    </xf>
    <xf numFmtId="169" fontId="83" fillId="0" borderId="76" xfId="0" applyNumberFormat="1" applyFont="1" applyFill="1" applyBorder="1" applyAlignment="1">
      <alignment vertical="center"/>
    </xf>
    <xf numFmtId="43" fontId="264" fillId="0" borderId="0" xfId="20518" quotePrefix="1" applyNumberFormat="1" applyFont="1" applyFill="1" applyBorder="1" applyAlignment="1">
      <alignment horizontal="center" vertical="center" wrapText="1"/>
    </xf>
    <xf numFmtId="169" fontId="83" fillId="0" borderId="0" xfId="20514" applyFont="1" applyFill="1" applyBorder="1" applyAlignment="1">
      <alignment vertical="center"/>
    </xf>
    <xf numFmtId="3" fontId="264" fillId="0" borderId="76" xfId="20518" applyNumberFormat="1" applyFont="1" applyFill="1" applyBorder="1" applyAlignment="1">
      <alignment horizontal="center" vertical="center" wrapText="1"/>
    </xf>
    <xf numFmtId="0" fontId="264" fillId="70" borderId="68" xfId="0" applyFont="1" applyFill="1" applyBorder="1" applyAlignment="1">
      <alignment horizontal="center" vertical="center"/>
    </xf>
    <xf numFmtId="3" fontId="274" fillId="70" borderId="76" xfId="20518" applyNumberFormat="1" applyFont="1" applyFill="1" applyBorder="1" applyAlignment="1">
      <alignment horizontal="center" vertical="center" wrapText="1"/>
    </xf>
    <xf numFmtId="0" fontId="111" fillId="70" borderId="68" xfId="0" applyFont="1" applyFill="1" applyBorder="1" applyAlignment="1">
      <alignment horizontal="center" vertical="center"/>
    </xf>
    <xf numFmtId="0" fontId="270" fillId="70" borderId="68" xfId="0" applyFont="1" applyFill="1" applyBorder="1" applyAlignment="1">
      <alignment horizontal="center" vertical="center"/>
    </xf>
    <xf numFmtId="175" fontId="264" fillId="70" borderId="68" xfId="0" applyNumberFormat="1" applyFont="1" applyFill="1" applyBorder="1" applyAlignment="1">
      <alignment horizontal="center" vertical="center"/>
    </xf>
    <xf numFmtId="169" fontId="264" fillId="70" borderId="68" xfId="20514" applyFont="1" applyFill="1" applyBorder="1" applyAlignment="1">
      <alignment horizontal="center" vertical="center"/>
    </xf>
    <xf numFmtId="169" fontId="264" fillId="70" borderId="68" xfId="0" applyNumberFormat="1" applyFont="1" applyFill="1" applyBorder="1" applyAlignment="1">
      <alignment horizontal="center" vertical="center"/>
    </xf>
    <xf numFmtId="0" fontId="111" fillId="70" borderId="76" xfId="0" applyFont="1" applyFill="1" applyBorder="1" applyAlignment="1">
      <alignment horizontal="center" vertical="center" wrapText="1"/>
    </xf>
    <xf numFmtId="0" fontId="264"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0" fontId="264" fillId="70" borderId="76" xfId="0" applyFont="1" applyFill="1" applyBorder="1"/>
    <xf numFmtId="169" fontId="264" fillId="70" borderId="76" xfId="20514" applyFont="1" applyFill="1" applyBorder="1"/>
    <xf numFmtId="43" fontId="264" fillId="70" borderId="76" xfId="0" applyNumberFormat="1" applyFont="1" applyFill="1" applyBorder="1"/>
    <xf numFmtId="169" fontId="264" fillId="70" borderId="76" xfId="0" applyNumberFormat="1" applyFont="1" applyFill="1" applyBorder="1"/>
  </cellXfs>
  <cellStyles count="20526">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RUNG PMU 5" xfId="1188"/>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5"/>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28515625" defaultRowHeight="12.75"/>
  <cols>
    <col min="1" max="1" width="5.85546875" style="2" customWidth="1"/>
    <col min="2" max="2" width="48.7109375" style="2" customWidth="1"/>
    <col min="3" max="4" width="9.28515625" style="2" customWidth="1"/>
    <col min="5" max="5" width="11.7109375" style="2" customWidth="1"/>
    <col min="6" max="7" width="9.28515625" style="2" customWidth="1"/>
    <col min="8" max="9" width="9.28515625" style="2"/>
    <col min="10" max="10" width="12.42578125" style="2" customWidth="1"/>
    <col min="11" max="16384" width="9.28515625" style="2"/>
  </cols>
  <sheetData>
    <row r="1" spans="1:13" ht="18.75">
      <c r="A1" s="304" t="s">
        <v>24</v>
      </c>
      <c r="B1" s="304"/>
      <c r="C1" s="304"/>
      <c r="D1" s="304"/>
      <c r="E1" s="304"/>
      <c r="F1" s="304"/>
      <c r="G1" s="304"/>
      <c r="H1" s="304"/>
      <c r="I1" s="304"/>
      <c r="J1" s="304"/>
      <c r="K1" s="304"/>
      <c r="L1" s="304"/>
      <c r="M1" s="304"/>
    </row>
    <row r="2" spans="1:13" ht="44.25" customHeight="1">
      <c r="A2" s="305" t="s">
        <v>31</v>
      </c>
      <c r="B2" s="304"/>
      <c r="C2" s="304"/>
      <c r="D2" s="304"/>
      <c r="E2" s="304"/>
      <c r="F2" s="304"/>
      <c r="G2" s="304"/>
      <c r="H2" s="304"/>
      <c r="I2" s="304"/>
      <c r="J2" s="304"/>
      <c r="K2" s="304"/>
      <c r="L2" s="304"/>
      <c r="M2" s="304"/>
    </row>
    <row r="3" spans="1:13" ht="15">
      <c r="A3" s="306" t="e">
        <f>#REF!</f>
        <v>#REF!</v>
      </c>
      <c r="B3" s="307"/>
      <c r="C3" s="307"/>
      <c r="D3" s="307"/>
      <c r="E3" s="307"/>
      <c r="F3" s="307"/>
      <c r="G3" s="307"/>
      <c r="H3" s="307"/>
      <c r="I3" s="307"/>
      <c r="J3" s="307"/>
      <c r="K3" s="307"/>
      <c r="L3" s="307"/>
      <c r="M3" s="307"/>
    </row>
    <row r="4" spans="1:13" ht="19.5" customHeight="1">
      <c r="A4" s="1"/>
      <c r="B4" s="1"/>
      <c r="C4" s="1"/>
      <c r="D4" s="1"/>
      <c r="E4" s="1"/>
      <c r="F4" s="1"/>
      <c r="G4" s="1"/>
      <c r="H4" s="308" t="s">
        <v>2</v>
      </c>
      <c r="I4" s="308"/>
      <c r="J4" s="308"/>
      <c r="K4" s="308"/>
      <c r="L4" s="308"/>
      <c r="M4" s="308"/>
    </row>
    <row r="5" spans="1:13" ht="24.95" customHeight="1">
      <c r="A5" s="309" t="s">
        <v>0</v>
      </c>
      <c r="B5" s="309" t="s">
        <v>33</v>
      </c>
      <c r="C5" s="312" t="s">
        <v>25</v>
      </c>
      <c r="D5" s="313"/>
      <c r="E5" s="313"/>
      <c r="F5" s="313"/>
      <c r="G5" s="314"/>
      <c r="H5" s="312" t="s">
        <v>26</v>
      </c>
      <c r="I5" s="313"/>
      <c r="J5" s="313"/>
      <c r="K5" s="313"/>
      <c r="L5" s="314"/>
      <c r="M5" s="309" t="s">
        <v>1</v>
      </c>
    </row>
    <row r="6" spans="1:13" ht="24.95" customHeight="1">
      <c r="A6" s="310"/>
      <c r="B6" s="310"/>
      <c r="C6" s="309" t="s">
        <v>34</v>
      </c>
      <c r="D6" s="312" t="s">
        <v>4</v>
      </c>
      <c r="E6" s="313"/>
      <c r="F6" s="313"/>
      <c r="G6" s="314"/>
      <c r="H6" s="309" t="s">
        <v>34</v>
      </c>
      <c r="I6" s="312" t="s">
        <v>4</v>
      </c>
      <c r="J6" s="313"/>
      <c r="K6" s="313"/>
      <c r="L6" s="314"/>
      <c r="M6" s="310"/>
    </row>
    <row r="7" spans="1:13" ht="24.95" customHeight="1">
      <c r="A7" s="310"/>
      <c r="B7" s="310"/>
      <c r="C7" s="310"/>
      <c r="D7" s="315" t="s">
        <v>6</v>
      </c>
      <c r="E7" s="316" t="s">
        <v>4</v>
      </c>
      <c r="F7" s="316"/>
      <c r="G7" s="315" t="s">
        <v>8</v>
      </c>
      <c r="H7" s="310"/>
      <c r="I7" s="315" t="s">
        <v>6</v>
      </c>
      <c r="J7" s="316" t="s">
        <v>4</v>
      </c>
      <c r="K7" s="316"/>
      <c r="L7" s="315" t="s">
        <v>8</v>
      </c>
      <c r="M7" s="310"/>
    </row>
    <row r="8" spans="1:13" ht="95.25" customHeight="1">
      <c r="A8" s="311"/>
      <c r="B8" s="311"/>
      <c r="C8" s="311"/>
      <c r="D8" s="315"/>
      <c r="E8" s="3" t="s">
        <v>10</v>
      </c>
      <c r="F8" s="3" t="s">
        <v>11</v>
      </c>
      <c r="G8" s="315"/>
      <c r="H8" s="311"/>
      <c r="I8" s="315"/>
      <c r="J8" s="3" t="s">
        <v>10</v>
      </c>
      <c r="K8" s="3" t="s">
        <v>11</v>
      </c>
      <c r="L8" s="315"/>
      <c r="M8" s="311"/>
    </row>
    <row r="9" spans="1:13" ht="27.95" customHeight="1">
      <c r="A9" s="4"/>
      <c r="B9" s="5" t="s">
        <v>34</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27</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29</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30</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Z120"/>
  <sheetViews>
    <sheetView topLeftCell="D1" zoomScale="75" zoomScaleNormal="75" workbookViewId="0">
      <pane xSplit="21750" topLeftCell="R1"/>
      <selection activeCell="X1" sqref="X1:Y1"/>
      <selection pane="topRight" activeCell="O27" sqref="O27"/>
    </sheetView>
  </sheetViews>
  <sheetFormatPr defaultRowHeight="15.75"/>
  <cols>
    <col min="1" max="1" width="9.7109375" style="18" customWidth="1"/>
    <col min="2" max="2" width="46.140625" style="18" customWidth="1"/>
    <col min="3" max="3" width="26.140625" style="24" customWidth="1"/>
    <col min="4" max="4" width="20.7109375" style="24" customWidth="1"/>
    <col min="5" max="5" width="13.42578125" style="18" customWidth="1"/>
    <col min="6" max="7" width="14" style="18" customWidth="1"/>
    <col min="8" max="8" width="14.42578125" style="18" hidden="1" customWidth="1"/>
    <col min="9" max="9" width="14.42578125" style="19" hidden="1" customWidth="1"/>
    <col min="10" max="10" width="15.7109375" style="19" hidden="1" customWidth="1"/>
    <col min="11" max="11" width="15.85546875" style="19" hidden="1" customWidth="1"/>
    <col min="12" max="12" width="14.42578125" style="19" hidden="1" customWidth="1"/>
    <col min="13" max="13" width="21.42578125" style="19" hidden="1" customWidth="1"/>
    <col min="14" max="14" width="20.140625" style="18" hidden="1" customWidth="1"/>
    <col min="15" max="15" width="13.7109375" style="18" hidden="1" customWidth="1"/>
    <col min="16" max="16" width="32.140625" style="18" hidden="1" customWidth="1"/>
    <col min="17" max="17" width="12.140625" style="18" hidden="1" customWidth="1"/>
    <col min="18" max="18" width="16.140625" style="18" customWidth="1"/>
    <col min="19" max="19" width="16.28515625" style="20" customWidth="1"/>
    <col min="20" max="20" width="15.28515625" style="19" customWidth="1"/>
    <col min="21" max="21" width="15.140625" style="19" customWidth="1"/>
    <col min="22" max="22" width="14.42578125" style="19" customWidth="1"/>
    <col min="23" max="23" width="15.85546875" style="280" customWidth="1"/>
    <col min="24" max="24" width="15.85546875" style="19" customWidth="1"/>
    <col min="25" max="25" width="17.28515625" style="18" customWidth="1"/>
    <col min="26" max="238" width="9.28515625" style="18"/>
    <col min="239" max="239" width="9.7109375" style="18" customWidth="1"/>
    <col min="240" max="240" width="58.140625" style="18" customWidth="1"/>
    <col min="241" max="241" width="33.42578125" style="18" customWidth="1"/>
    <col min="242" max="242" width="22.140625" style="18" customWidth="1"/>
    <col min="243" max="243" width="25.42578125" style="18" customWidth="1"/>
    <col min="244" max="244" width="56.28515625" style="18" customWidth="1"/>
    <col min="245" max="245" width="66.140625" style="18" customWidth="1"/>
    <col min="246" max="251" width="11" style="18" customWidth="1"/>
    <col min="252" max="252" width="13.42578125" style="18" customWidth="1"/>
    <col min="253" max="253" width="9" style="18" customWidth="1"/>
    <col min="254" max="494" width="9.28515625" style="18"/>
    <col min="495" max="495" width="9.7109375" style="18" customWidth="1"/>
    <col min="496" max="496" width="58.140625" style="18" customWidth="1"/>
    <col min="497" max="497" width="33.42578125" style="18" customWidth="1"/>
    <col min="498" max="498" width="22.140625" style="18" customWidth="1"/>
    <col min="499" max="499" width="25.42578125" style="18" customWidth="1"/>
    <col min="500" max="500" width="56.28515625" style="18" customWidth="1"/>
    <col min="501" max="501" width="66.140625" style="18" customWidth="1"/>
    <col min="502" max="507" width="11" style="18" customWidth="1"/>
    <col min="508" max="508" width="13.42578125" style="18" customWidth="1"/>
    <col min="509" max="509" width="9" style="18" customWidth="1"/>
    <col min="510" max="750" width="9.28515625" style="18"/>
    <col min="751" max="751" width="9.7109375" style="18" customWidth="1"/>
    <col min="752" max="752" width="58.140625" style="18" customWidth="1"/>
    <col min="753" max="753" width="33.42578125" style="18" customWidth="1"/>
    <col min="754" max="754" width="22.140625" style="18" customWidth="1"/>
    <col min="755" max="755" width="25.42578125" style="18" customWidth="1"/>
    <col min="756" max="756" width="56.28515625" style="18" customWidth="1"/>
    <col min="757" max="757" width="66.140625" style="18" customWidth="1"/>
    <col min="758" max="763" width="11" style="18" customWidth="1"/>
    <col min="764" max="764" width="13.42578125" style="18" customWidth="1"/>
    <col min="765" max="765" width="9" style="18" customWidth="1"/>
    <col min="766" max="1006" width="9.28515625" style="18"/>
    <col min="1007" max="1007" width="9.7109375" style="18" customWidth="1"/>
    <col min="1008" max="1008" width="58.140625" style="18" customWidth="1"/>
    <col min="1009" max="1009" width="33.42578125" style="18" customWidth="1"/>
    <col min="1010" max="1010" width="22.140625" style="18" customWidth="1"/>
    <col min="1011" max="1011" width="25.42578125" style="18" customWidth="1"/>
    <col min="1012" max="1012" width="56.28515625" style="18" customWidth="1"/>
    <col min="1013" max="1013" width="66.140625" style="18" customWidth="1"/>
    <col min="1014" max="1019" width="11" style="18" customWidth="1"/>
    <col min="1020" max="1020" width="13.42578125" style="18" customWidth="1"/>
    <col min="1021" max="1021" width="9" style="18" customWidth="1"/>
    <col min="1022" max="1262" width="9.28515625" style="18"/>
    <col min="1263" max="1263" width="9.7109375" style="18" customWidth="1"/>
    <col min="1264" max="1264" width="58.140625" style="18" customWidth="1"/>
    <col min="1265" max="1265" width="33.42578125" style="18" customWidth="1"/>
    <col min="1266" max="1266" width="22.140625" style="18" customWidth="1"/>
    <col min="1267" max="1267" width="25.42578125" style="18" customWidth="1"/>
    <col min="1268" max="1268" width="56.28515625" style="18" customWidth="1"/>
    <col min="1269" max="1269" width="66.140625" style="18" customWidth="1"/>
    <col min="1270" max="1275" width="11" style="18" customWidth="1"/>
    <col min="1276" max="1276" width="13.42578125" style="18" customWidth="1"/>
    <col min="1277" max="1277" width="9" style="18" customWidth="1"/>
    <col min="1278" max="1518" width="9.28515625" style="18"/>
    <col min="1519" max="1519" width="9.7109375" style="18" customWidth="1"/>
    <col min="1520" max="1520" width="58.140625" style="18" customWidth="1"/>
    <col min="1521" max="1521" width="33.42578125" style="18" customWidth="1"/>
    <col min="1522" max="1522" width="22.140625" style="18" customWidth="1"/>
    <col min="1523" max="1523" width="25.42578125" style="18" customWidth="1"/>
    <col min="1524" max="1524" width="56.28515625" style="18" customWidth="1"/>
    <col min="1525" max="1525" width="66.140625" style="18" customWidth="1"/>
    <col min="1526" max="1531" width="11" style="18" customWidth="1"/>
    <col min="1532" max="1532" width="13.42578125" style="18" customWidth="1"/>
    <col min="1533" max="1533" width="9" style="18" customWidth="1"/>
    <col min="1534" max="1774" width="9.28515625" style="18"/>
    <col min="1775" max="1775" width="9.7109375" style="18" customWidth="1"/>
    <col min="1776" max="1776" width="58.140625" style="18" customWidth="1"/>
    <col min="1777" max="1777" width="33.42578125" style="18" customWidth="1"/>
    <col min="1778" max="1778" width="22.140625" style="18" customWidth="1"/>
    <col min="1779" max="1779" width="25.42578125" style="18" customWidth="1"/>
    <col min="1780" max="1780" width="56.28515625" style="18" customWidth="1"/>
    <col min="1781" max="1781" width="66.140625" style="18" customWidth="1"/>
    <col min="1782" max="1787" width="11" style="18" customWidth="1"/>
    <col min="1788" max="1788" width="13.42578125" style="18" customWidth="1"/>
    <col min="1789" max="1789" width="9" style="18" customWidth="1"/>
    <col min="1790" max="2030" width="9.28515625" style="18"/>
    <col min="2031" max="2031" width="9.7109375" style="18" customWidth="1"/>
    <col min="2032" max="2032" width="58.140625" style="18" customWidth="1"/>
    <col min="2033" max="2033" width="33.42578125" style="18" customWidth="1"/>
    <col min="2034" max="2034" width="22.140625" style="18" customWidth="1"/>
    <col min="2035" max="2035" width="25.42578125" style="18" customWidth="1"/>
    <col min="2036" max="2036" width="56.28515625" style="18" customWidth="1"/>
    <col min="2037" max="2037" width="66.140625" style="18" customWidth="1"/>
    <col min="2038" max="2043" width="11" style="18" customWidth="1"/>
    <col min="2044" max="2044" width="13.42578125" style="18" customWidth="1"/>
    <col min="2045" max="2045" width="9" style="18" customWidth="1"/>
    <col min="2046" max="2286" width="9.28515625" style="18"/>
    <col min="2287" max="2287" width="9.7109375" style="18" customWidth="1"/>
    <col min="2288" max="2288" width="58.140625" style="18" customWidth="1"/>
    <col min="2289" max="2289" width="33.42578125" style="18" customWidth="1"/>
    <col min="2290" max="2290" width="22.140625" style="18" customWidth="1"/>
    <col min="2291" max="2291" width="25.42578125" style="18" customWidth="1"/>
    <col min="2292" max="2292" width="56.28515625" style="18" customWidth="1"/>
    <col min="2293" max="2293" width="66.140625" style="18" customWidth="1"/>
    <col min="2294" max="2299" width="11" style="18" customWidth="1"/>
    <col min="2300" max="2300" width="13.42578125" style="18" customWidth="1"/>
    <col min="2301" max="2301" width="9" style="18" customWidth="1"/>
    <col min="2302" max="2542" width="9.28515625" style="18"/>
    <col min="2543" max="2543" width="9.7109375" style="18" customWidth="1"/>
    <col min="2544" max="2544" width="58.140625" style="18" customWidth="1"/>
    <col min="2545" max="2545" width="33.42578125" style="18" customWidth="1"/>
    <col min="2546" max="2546" width="22.140625" style="18" customWidth="1"/>
    <col min="2547" max="2547" width="25.42578125" style="18" customWidth="1"/>
    <col min="2548" max="2548" width="56.28515625" style="18" customWidth="1"/>
    <col min="2549" max="2549" width="66.140625" style="18" customWidth="1"/>
    <col min="2550" max="2555" width="11" style="18" customWidth="1"/>
    <col min="2556" max="2556" width="13.42578125" style="18" customWidth="1"/>
    <col min="2557" max="2557" width="9" style="18" customWidth="1"/>
    <col min="2558" max="2798" width="9.28515625" style="18"/>
    <col min="2799" max="2799" width="9.7109375" style="18" customWidth="1"/>
    <col min="2800" max="2800" width="58.140625" style="18" customWidth="1"/>
    <col min="2801" max="2801" width="33.42578125" style="18" customWidth="1"/>
    <col min="2802" max="2802" width="22.140625" style="18" customWidth="1"/>
    <col min="2803" max="2803" width="25.42578125" style="18" customWidth="1"/>
    <col min="2804" max="2804" width="56.28515625" style="18" customWidth="1"/>
    <col min="2805" max="2805" width="66.140625" style="18" customWidth="1"/>
    <col min="2806" max="2811" width="11" style="18" customWidth="1"/>
    <col min="2812" max="2812" width="13.42578125" style="18" customWidth="1"/>
    <col min="2813" max="2813" width="9" style="18" customWidth="1"/>
    <col min="2814" max="3054" width="9.28515625" style="18"/>
    <col min="3055" max="3055" width="9.7109375" style="18" customWidth="1"/>
    <col min="3056" max="3056" width="58.140625" style="18" customWidth="1"/>
    <col min="3057" max="3057" width="33.42578125" style="18" customWidth="1"/>
    <col min="3058" max="3058" width="22.140625" style="18" customWidth="1"/>
    <col min="3059" max="3059" width="25.42578125" style="18" customWidth="1"/>
    <col min="3060" max="3060" width="56.28515625" style="18" customWidth="1"/>
    <col min="3061" max="3061" width="66.140625" style="18" customWidth="1"/>
    <col min="3062" max="3067" width="11" style="18" customWidth="1"/>
    <col min="3068" max="3068" width="13.42578125" style="18" customWidth="1"/>
    <col min="3069" max="3069" width="9" style="18" customWidth="1"/>
    <col min="3070" max="3310" width="9.28515625" style="18"/>
    <col min="3311" max="3311" width="9.7109375" style="18" customWidth="1"/>
    <col min="3312" max="3312" width="58.140625" style="18" customWidth="1"/>
    <col min="3313" max="3313" width="33.42578125" style="18" customWidth="1"/>
    <col min="3314" max="3314" width="22.140625" style="18" customWidth="1"/>
    <col min="3315" max="3315" width="25.42578125" style="18" customWidth="1"/>
    <col min="3316" max="3316" width="56.28515625" style="18" customWidth="1"/>
    <col min="3317" max="3317" width="66.140625" style="18" customWidth="1"/>
    <col min="3318" max="3323" width="11" style="18" customWidth="1"/>
    <col min="3324" max="3324" width="13.42578125" style="18" customWidth="1"/>
    <col min="3325" max="3325" width="9" style="18" customWidth="1"/>
    <col min="3326" max="3566" width="9.28515625" style="18"/>
    <col min="3567" max="3567" width="9.7109375" style="18" customWidth="1"/>
    <col min="3568" max="3568" width="58.140625" style="18" customWidth="1"/>
    <col min="3569" max="3569" width="33.42578125" style="18" customWidth="1"/>
    <col min="3570" max="3570" width="22.140625" style="18" customWidth="1"/>
    <col min="3571" max="3571" width="25.42578125" style="18" customWidth="1"/>
    <col min="3572" max="3572" width="56.28515625" style="18" customWidth="1"/>
    <col min="3573" max="3573" width="66.140625" style="18" customWidth="1"/>
    <col min="3574" max="3579" width="11" style="18" customWidth="1"/>
    <col min="3580" max="3580" width="13.42578125" style="18" customWidth="1"/>
    <col min="3581" max="3581" width="9" style="18" customWidth="1"/>
    <col min="3582" max="3822" width="9.28515625" style="18"/>
    <col min="3823" max="3823" width="9.7109375" style="18" customWidth="1"/>
    <col min="3824" max="3824" width="58.140625" style="18" customWidth="1"/>
    <col min="3825" max="3825" width="33.42578125" style="18" customWidth="1"/>
    <col min="3826" max="3826" width="22.140625" style="18" customWidth="1"/>
    <col min="3827" max="3827" width="25.42578125" style="18" customWidth="1"/>
    <col min="3828" max="3828" width="56.28515625" style="18" customWidth="1"/>
    <col min="3829" max="3829" width="66.140625" style="18" customWidth="1"/>
    <col min="3830" max="3835" width="11" style="18" customWidth="1"/>
    <col min="3836" max="3836" width="13.42578125" style="18" customWidth="1"/>
    <col min="3837" max="3837" width="9" style="18" customWidth="1"/>
    <col min="3838" max="4078" width="9.28515625" style="18"/>
    <col min="4079" max="4079" width="9.7109375" style="18" customWidth="1"/>
    <col min="4080" max="4080" width="58.140625" style="18" customWidth="1"/>
    <col min="4081" max="4081" width="33.42578125" style="18" customWidth="1"/>
    <col min="4082" max="4082" width="22.140625" style="18" customWidth="1"/>
    <col min="4083" max="4083" width="25.42578125" style="18" customWidth="1"/>
    <col min="4084" max="4084" width="56.28515625" style="18" customWidth="1"/>
    <col min="4085" max="4085" width="66.140625" style="18" customWidth="1"/>
    <col min="4086" max="4091" width="11" style="18" customWidth="1"/>
    <col min="4092" max="4092" width="13.42578125" style="18" customWidth="1"/>
    <col min="4093" max="4093" width="9" style="18" customWidth="1"/>
    <col min="4094" max="4334" width="9.28515625" style="18"/>
    <col min="4335" max="4335" width="9.7109375" style="18" customWidth="1"/>
    <col min="4336" max="4336" width="58.140625" style="18" customWidth="1"/>
    <col min="4337" max="4337" width="33.42578125" style="18" customWidth="1"/>
    <col min="4338" max="4338" width="22.140625" style="18" customWidth="1"/>
    <col min="4339" max="4339" width="25.42578125" style="18" customWidth="1"/>
    <col min="4340" max="4340" width="56.28515625" style="18" customWidth="1"/>
    <col min="4341" max="4341" width="66.140625" style="18" customWidth="1"/>
    <col min="4342" max="4347" width="11" style="18" customWidth="1"/>
    <col min="4348" max="4348" width="13.42578125" style="18" customWidth="1"/>
    <col min="4349" max="4349" width="9" style="18" customWidth="1"/>
    <col min="4350" max="4590" width="9.28515625" style="18"/>
    <col min="4591" max="4591" width="9.7109375" style="18" customWidth="1"/>
    <col min="4592" max="4592" width="58.140625" style="18" customWidth="1"/>
    <col min="4593" max="4593" width="33.42578125" style="18" customWidth="1"/>
    <col min="4594" max="4594" width="22.140625" style="18" customWidth="1"/>
    <col min="4595" max="4595" width="25.42578125" style="18" customWidth="1"/>
    <col min="4596" max="4596" width="56.28515625" style="18" customWidth="1"/>
    <col min="4597" max="4597" width="66.140625" style="18" customWidth="1"/>
    <col min="4598" max="4603" width="11" style="18" customWidth="1"/>
    <col min="4604" max="4604" width="13.42578125" style="18" customWidth="1"/>
    <col min="4605" max="4605" width="9" style="18" customWidth="1"/>
    <col min="4606" max="4846" width="9.28515625" style="18"/>
    <col min="4847" max="4847" width="9.7109375" style="18" customWidth="1"/>
    <col min="4848" max="4848" width="58.140625" style="18" customWidth="1"/>
    <col min="4849" max="4849" width="33.42578125" style="18" customWidth="1"/>
    <col min="4850" max="4850" width="22.140625" style="18" customWidth="1"/>
    <col min="4851" max="4851" width="25.42578125" style="18" customWidth="1"/>
    <col min="4852" max="4852" width="56.28515625" style="18" customWidth="1"/>
    <col min="4853" max="4853" width="66.140625" style="18" customWidth="1"/>
    <col min="4854" max="4859" width="11" style="18" customWidth="1"/>
    <col min="4860" max="4860" width="13.42578125" style="18" customWidth="1"/>
    <col min="4861" max="4861" width="9" style="18" customWidth="1"/>
    <col min="4862" max="5102" width="9.28515625" style="18"/>
    <col min="5103" max="5103" width="9.7109375" style="18" customWidth="1"/>
    <col min="5104" max="5104" width="58.140625" style="18" customWidth="1"/>
    <col min="5105" max="5105" width="33.42578125" style="18" customWidth="1"/>
    <col min="5106" max="5106" width="22.140625" style="18" customWidth="1"/>
    <col min="5107" max="5107" width="25.42578125" style="18" customWidth="1"/>
    <col min="5108" max="5108" width="56.28515625" style="18" customWidth="1"/>
    <col min="5109" max="5109" width="66.140625" style="18" customWidth="1"/>
    <col min="5110" max="5115" width="11" style="18" customWidth="1"/>
    <col min="5116" max="5116" width="13.42578125" style="18" customWidth="1"/>
    <col min="5117" max="5117" width="9" style="18" customWidth="1"/>
    <col min="5118" max="5358" width="9.28515625" style="18"/>
    <col min="5359" max="5359" width="9.7109375" style="18" customWidth="1"/>
    <col min="5360" max="5360" width="58.140625" style="18" customWidth="1"/>
    <col min="5361" max="5361" width="33.42578125" style="18" customWidth="1"/>
    <col min="5362" max="5362" width="22.140625" style="18" customWidth="1"/>
    <col min="5363" max="5363" width="25.42578125" style="18" customWidth="1"/>
    <col min="5364" max="5364" width="56.28515625" style="18" customWidth="1"/>
    <col min="5365" max="5365" width="66.140625" style="18" customWidth="1"/>
    <col min="5366" max="5371" width="11" style="18" customWidth="1"/>
    <col min="5372" max="5372" width="13.42578125" style="18" customWidth="1"/>
    <col min="5373" max="5373" width="9" style="18" customWidth="1"/>
    <col min="5374" max="5614" width="9.28515625" style="18"/>
    <col min="5615" max="5615" width="9.7109375" style="18" customWidth="1"/>
    <col min="5616" max="5616" width="58.140625" style="18" customWidth="1"/>
    <col min="5617" max="5617" width="33.42578125" style="18" customWidth="1"/>
    <col min="5618" max="5618" width="22.140625" style="18" customWidth="1"/>
    <col min="5619" max="5619" width="25.42578125" style="18" customWidth="1"/>
    <col min="5620" max="5620" width="56.28515625" style="18" customWidth="1"/>
    <col min="5621" max="5621" width="66.140625" style="18" customWidth="1"/>
    <col min="5622" max="5627" width="11" style="18" customWidth="1"/>
    <col min="5628" max="5628" width="13.42578125" style="18" customWidth="1"/>
    <col min="5629" max="5629" width="9" style="18" customWidth="1"/>
    <col min="5630" max="5870" width="9.28515625" style="18"/>
    <col min="5871" max="5871" width="9.7109375" style="18" customWidth="1"/>
    <col min="5872" max="5872" width="58.140625" style="18" customWidth="1"/>
    <col min="5873" max="5873" width="33.42578125" style="18" customWidth="1"/>
    <col min="5874" max="5874" width="22.140625" style="18" customWidth="1"/>
    <col min="5875" max="5875" width="25.42578125" style="18" customWidth="1"/>
    <col min="5876" max="5876" width="56.28515625" style="18" customWidth="1"/>
    <col min="5877" max="5877" width="66.140625" style="18" customWidth="1"/>
    <col min="5878" max="5883" width="11" style="18" customWidth="1"/>
    <col min="5884" max="5884" width="13.42578125" style="18" customWidth="1"/>
    <col min="5885" max="5885" width="9" style="18" customWidth="1"/>
    <col min="5886" max="6126" width="9.28515625" style="18"/>
    <col min="6127" max="6127" width="9.7109375" style="18" customWidth="1"/>
    <col min="6128" max="6128" width="58.140625" style="18" customWidth="1"/>
    <col min="6129" max="6129" width="33.42578125" style="18" customWidth="1"/>
    <col min="6130" max="6130" width="22.140625" style="18" customWidth="1"/>
    <col min="6131" max="6131" width="25.42578125" style="18" customWidth="1"/>
    <col min="6132" max="6132" width="56.28515625" style="18" customWidth="1"/>
    <col min="6133" max="6133" width="66.140625" style="18" customWidth="1"/>
    <col min="6134" max="6139" width="11" style="18" customWidth="1"/>
    <col min="6140" max="6140" width="13.42578125" style="18" customWidth="1"/>
    <col min="6141" max="6141" width="9" style="18" customWidth="1"/>
    <col min="6142" max="6382" width="9.28515625" style="18"/>
    <col min="6383" max="6383" width="9.7109375" style="18" customWidth="1"/>
    <col min="6384" max="6384" width="58.140625" style="18" customWidth="1"/>
    <col min="6385" max="6385" width="33.42578125" style="18" customWidth="1"/>
    <col min="6386" max="6386" width="22.140625" style="18" customWidth="1"/>
    <col min="6387" max="6387" width="25.42578125" style="18" customWidth="1"/>
    <col min="6388" max="6388" width="56.28515625" style="18" customWidth="1"/>
    <col min="6389" max="6389" width="66.140625" style="18" customWidth="1"/>
    <col min="6390" max="6395" width="11" style="18" customWidth="1"/>
    <col min="6396" max="6396" width="13.42578125" style="18" customWidth="1"/>
    <col min="6397" max="6397" width="9" style="18" customWidth="1"/>
    <col min="6398" max="6638" width="9.28515625" style="18"/>
    <col min="6639" max="6639" width="9.7109375" style="18" customWidth="1"/>
    <col min="6640" max="6640" width="58.140625" style="18" customWidth="1"/>
    <col min="6641" max="6641" width="33.42578125" style="18" customWidth="1"/>
    <col min="6642" max="6642" width="22.140625" style="18" customWidth="1"/>
    <col min="6643" max="6643" width="25.42578125" style="18" customWidth="1"/>
    <col min="6644" max="6644" width="56.28515625" style="18" customWidth="1"/>
    <col min="6645" max="6645" width="66.140625" style="18" customWidth="1"/>
    <col min="6646" max="6651" width="11" style="18" customWidth="1"/>
    <col min="6652" max="6652" width="13.42578125" style="18" customWidth="1"/>
    <col min="6653" max="6653" width="9" style="18" customWidth="1"/>
    <col min="6654" max="6894" width="9.28515625" style="18"/>
    <col min="6895" max="6895" width="9.7109375" style="18" customWidth="1"/>
    <col min="6896" max="6896" width="58.140625" style="18" customWidth="1"/>
    <col min="6897" max="6897" width="33.42578125" style="18" customWidth="1"/>
    <col min="6898" max="6898" width="22.140625" style="18" customWidth="1"/>
    <col min="6899" max="6899" width="25.42578125" style="18" customWidth="1"/>
    <col min="6900" max="6900" width="56.28515625" style="18" customWidth="1"/>
    <col min="6901" max="6901" width="66.140625" style="18" customWidth="1"/>
    <col min="6902" max="6907" width="11" style="18" customWidth="1"/>
    <col min="6908" max="6908" width="13.42578125" style="18" customWidth="1"/>
    <col min="6909" max="6909" width="9" style="18" customWidth="1"/>
    <col min="6910" max="7150" width="9.28515625" style="18"/>
    <col min="7151" max="7151" width="9.7109375" style="18" customWidth="1"/>
    <col min="7152" max="7152" width="58.140625" style="18" customWidth="1"/>
    <col min="7153" max="7153" width="33.42578125" style="18" customWidth="1"/>
    <col min="7154" max="7154" width="22.140625" style="18" customWidth="1"/>
    <col min="7155" max="7155" width="25.42578125" style="18" customWidth="1"/>
    <col min="7156" max="7156" width="56.28515625" style="18" customWidth="1"/>
    <col min="7157" max="7157" width="66.140625" style="18" customWidth="1"/>
    <col min="7158" max="7163" width="11" style="18" customWidth="1"/>
    <col min="7164" max="7164" width="13.42578125" style="18" customWidth="1"/>
    <col min="7165" max="7165" width="9" style="18" customWidth="1"/>
    <col min="7166" max="7406" width="9.28515625" style="18"/>
    <col min="7407" max="7407" width="9.7109375" style="18" customWidth="1"/>
    <col min="7408" max="7408" width="58.140625" style="18" customWidth="1"/>
    <col min="7409" max="7409" width="33.42578125" style="18" customWidth="1"/>
    <col min="7410" max="7410" width="22.140625" style="18" customWidth="1"/>
    <col min="7411" max="7411" width="25.42578125" style="18" customWidth="1"/>
    <col min="7412" max="7412" width="56.28515625" style="18" customWidth="1"/>
    <col min="7413" max="7413" width="66.140625" style="18" customWidth="1"/>
    <col min="7414" max="7419" width="11" style="18" customWidth="1"/>
    <col min="7420" max="7420" width="13.42578125" style="18" customWidth="1"/>
    <col min="7421" max="7421" width="9" style="18" customWidth="1"/>
    <col min="7422" max="7662" width="9.28515625" style="18"/>
    <col min="7663" max="7663" width="9.7109375" style="18" customWidth="1"/>
    <col min="7664" max="7664" width="58.140625" style="18" customWidth="1"/>
    <col min="7665" max="7665" width="33.42578125" style="18" customWidth="1"/>
    <col min="7666" max="7666" width="22.140625" style="18" customWidth="1"/>
    <col min="7667" max="7667" width="25.42578125" style="18" customWidth="1"/>
    <col min="7668" max="7668" width="56.28515625" style="18" customWidth="1"/>
    <col min="7669" max="7669" width="66.140625" style="18" customWidth="1"/>
    <col min="7670" max="7675" width="11" style="18" customWidth="1"/>
    <col min="7676" max="7676" width="13.42578125" style="18" customWidth="1"/>
    <col min="7677" max="7677" width="9" style="18" customWidth="1"/>
    <col min="7678" max="7918" width="9.28515625" style="18"/>
    <col min="7919" max="7919" width="9.7109375" style="18" customWidth="1"/>
    <col min="7920" max="7920" width="58.140625" style="18" customWidth="1"/>
    <col min="7921" max="7921" width="33.42578125" style="18" customWidth="1"/>
    <col min="7922" max="7922" width="22.140625" style="18" customWidth="1"/>
    <col min="7923" max="7923" width="25.42578125" style="18" customWidth="1"/>
    <col min="7924" max="7924" width="56.28515625" style="18" customWidth="1"/>
    <col min="7925" max="7925" width="66.140625" style="18" customWidth="1"/>
    <col min="7926" max="7931" width="11" style="18" customWidth="1"/>
    <col min="7932" max="7932" width="13.42578125" style="18" customWidth="1"/>
    <col min="7933" max="7933" width="9" style="18" customWidth="1"/>
    <col min="7934" max="8174" width="9.28515625" style="18"/>
    <col min="8175" max="8175" width="9.7109375" style="18" customWidth="1"/>
    <col min="8176" max="8176" width="58.140625" style="18" customWidth="1"/>
    <col min="8177" max="8177" width="33.42578125" style="18" customWidth="1"/>
    <col min="8178" max="8178" width="22.140625" style="18" customWidth="1"/>
    <col min="8179" max="8179" width="25.42578125" style="18" customWidth="1"/>
    <col min="8180" max="8180" width="56.28515625" style="18" customWidth="1"/>
    <col min="8181" max="8181" width="66.140625" style="18" customWidth="1"/>
    <col min="8182" max="8187" width="11" style="18" customWidth="1"/>
    <col min="8188" max="8188" width="13.42578125" style="18" customWidth="1"/>
    <col min="8189" max="8189" width="9" style="18" customWidth="1"/>
    <col min="8190" max="8430" width="9.28515625" style="18"/>
    <col min="8431" max="8431" width="9.7109375" style="18" customWidth="1"/>
    <col min="8432" max="8432" width="58.140625" style="18" customWidth="1"/>
    <col min="8433" max="8433" width="33.42578125" style="18" customWidth="1"/>
    <col min="8434" max="8434" width="22.140625" style="18" customWidth="1"/>
    <col min="8435" max="8435" width="25.42578125" style="18" customWidth="1"/>
    <col min="8436" max="8436" width="56.28515625" style="18" customWidth="1"/>
    <col min="8437" max="8437" width="66.140625" style="18" customWidth="1"/>
    <col min="8438" max="8443" width="11" style="18" customWidth="1"/>
    <col min="8444" max="8444" width="13.42578125" style="18" customWidth="1"/>
    <col min="8445" max="8445" width="9" style="18" customWidth="1"/>
    <col min="8446" max="8686" width="9.28515625" style="18"/>
    <col min="8687" max="8687" width="9.7109375" style="18" customWidth="1"/>
    <col min="8688" max="8688" width="58.140625" style="18" customWidth="1"/>
    <col min="8689" max="8689" width="33.42578125" style="18" customWidth="1"/>
    <col min="8690" max="8690" width="22.140625" style="18" customWidth="1"/>
    <col min="8691" max="8691" width="25.42578125" style="18" customWidth="1"/>
    <col min="8692" max="8692" width="56.28515625" style="18" customWidth="1"/>
    <col min="8693" max="8693" width="66.140625" style="18" customWidth="1"/>
    <col min="8694" max="8699" width="11" style="18" customWidth="1"/>
    <col min="8700" max="8700" width="13.42578125" style="18" customWidth="1"/>
    <col min="8701" max="8701" width="9" style="18" customWidth="1"/>
    <col min="8702" max="8942" width="9.28515625" style="18"/>
    <col min="8943" max="8943" width="9.7109375" style="18" customWidth="1"/>
    <col min="8944" max="8944" width="58.140625" style="18" customWidth="1"/>
    <col min="8945" max="8945" width="33.42578125" style="18" customWidth="1"/>
    <col min="8946" max="8946" width="22.140625" style="18" customWidth="1"/>
    <col min="8947" max="8947" width="25.42578125" style="18" customWidth="1"/>
    <col min="8948" max="8948" width="56.28515625" style="18" customWidth="1"/>
    <col min="8949" max="8949" width="66.140625" style="18" customWidth="1"/>
    <col min="8950" max="8955" width="11" style="18" customWidth="1"/>
    <col min="8956" max="8956" width="13.42578125" style="18" customWidth="1"/>
    <col min="8957" max="8957" width="9" style="18" customWidth="1"/>
    <col min="8958" max="9198" width="9.28515625" style="18"/>
    <col min="9199" max="9199" width="9.7109375" style="18" customWidth="1"/>
    <col min="9200" max="9200" width="58.140625" style="18" customWidth="1"/>
    <col min="9201" max="9201" width="33.42578125" style="18" customWidth="1"/>
    <col min="9202" max="9202" width="22.140625" style="18" customWidth="1"/>
    <col min="9203" max="9203" width="25.42578125" style="18" customWidth="1"/>
    <col min="9204" max="9204" width="56.28515625" style="18" customWidth="1"/>
    <col min="9205" max="9205" width="66.140625" style="18" customWidth="1"/>
    <col min="9206" max="9211" width="11" style="18" customWidth="1"/>
    <col min="9212" max="9212" width="13.42578125" style="18" customWidth="1"/>
    <col min="9213" max="9213" width="9" style="18" customWidth="1"/>
    <col min="9214" max="9454" width="9.28515625" style="18"/>
    <col min="9455" max="9455" width="9.7109375" style="18" customWidth="1"/>
    <col min="9456" max="9456" width="58.140625" style="18" customWidth="1"/>
    <col min="9457" max="9457" width="33.42578125" style="18" customWidth="1"/>
    <col min="9458" max="9458" width="22.140625" style="18" customWidth="1"/>
    <col min="9459" max="9459" width="25.42578125" style="18" customWidth="1"/>
    <col min="9460" max="9460" width="56.28515625" style="18" customWidth="1"/>
    <col min="9461" max="9461" width="66.140625" style="18" customWidth="1"/>
    <col min="9462" max="9467" width="11" style="18" customWidth="1"/>
    <col min="9468" max="9468" width="13.42578125" style="18" customWidth="1"/>
    <col min="9469" max="9469" width="9" style="18" customWidth="1"/>
    <col min="9470" max="9710" width="9.28515625" style="18"/>
    <col min="9711" max="9711" width="9.7109375" style="18" customWidth="1"/>
    <col min="9712" max="9712" width="58.140625" style="18" customWidth="1"/>
    <col min="9713" max="9713" width="33.42578125" style="18" customWidth="1"/>
    <col min="9714" max="9714" width="22.140625" style="18" customWidth="1"/>
    <col min="9715" max="9715" width="25.42578125" style="18" customWidth="1"/>
    <col min="9716" max="9716" width="56.28515625" style="18" customWidth="1"/>
    <col min="9717" max="9717" width="66.140625" style="18" customWidth="1"/>
    <col min="9718" max="9723" width="11" style="18" customWidth="1"/>
    <col min="9724" max="9724" width="13.42578125" style="18" customWidth="1"/>
    <col min="9725" max="9725" width="9" style="18" customWidth="1"/>
    <col min="9726" max="9966" width="9.28515625" style="18"/>
    <col min="9967" max="9967" width="9.7109375" style="18" customWidth="1"/>
    <col min="9968" max="9968" width="58.140625" style="18" customWidth="1"/>
    <col min="9969" max="9969" width="33.42578125" style="18" customWidth="1"/>
    <col min="9970" max="9970" width="22.140625" style="18" customWidth="1"/>
    <col min="9971" max="9971" width="25.42578125" style="18" customWidth="1"/>
    <col min="9972" max="9972" width="56.28515625" style="18" customWidth="1"/>
    <col min="9973" max="9973" width="66.140625" style="18" customWidth="1"/>
    <col min="9974" max="9979" width="11" style="18" customWidth="1"/>
    <col min="9980" max="9980" width="13.42578125" style="18" customWidth="1"/>
    <col min="9981" max="9981" width="9" style="18" customWidth="1"/>
    <col min="9982" max="10222" width="9.28515625" style="18"/>
    <col min="10223" max="10223" width="9.7109375" style="18" customWidth="1"/>
    <col min="10224" max="10224" width="58.140625" style="18" customWidth="1"/>
    <col min="10225" max="10225" width="33.42578125" style="18" customWidth="1"/>
    <col min="10226" max="10226" width="22.140625" style="18" customWidth="1"/>
    <col min="10227" max="10227" width="25.42578125" style="18" customWidth="1"/>
    <col min="10228" max="10228" width="56.28515625" style="18" customWidth="1"/>
    <col min="10229" max="10229" width="66.140625" style="18" customWidth="1"/>
    <col min="10230" max="10235" width="11" style="18" customWidth="1"/>
    <col min="10236" max="10236" width="13.42578125" style="18" customWidth="1"/>
    <col min="10237" max="10237" width="9" style="18" customWidth="1"/>
    <col min="10238" max="10478" width="9.28515625" style="18"/>
    <col min="10479" max="10479" width="9.7109375" style="18" customWidth="1"/>
    <col min="10480" max="10480" width="58.140625" style="18" customWidth="1"/>
    <col min="10481" max="10481" width="33.42578125" style="18" customWidth="1"/>
    <col min="10482" max="10482" width="22.140625" style="18" customWidth="1"/>
    <col min="10483" max="10483" width="25.42578125" style="18" customWidth="1"/>
    <col min="10484" max="10484" width="56.28515625" style="18" customWidth="1"/>
    <col min="10485" max="10485" width="66.140625" style="18" customWidth="1"/>
    <col min="10486" max="10491" width="11" style="18" customWidth="1"/>
    <col min="10492" max="10492" width="13.42578125" style="18" customWidth="1"/>
    <col min="10493" max="10493" width="9" style="18" customWidth="1"/>
    <col min="10494" max="10734" width="9.28515625" style="18"/>
    <col min="10735" max="10735" width="9.7109375" style="18" customWidth="1"/>
    <col min="10736" max="10736" width="58.140625" style="18" customWidth="1"/>
    <col min="10737" max="10737" width="33.42578125" style="18" customWidth="1"/>
    <col min="10738" max="10738" width="22.140625" style="18" customWidth="1"/>
    <col min="10739" max="10739" width="25.42578125" style="18" customWidth="1"/>
    <col min="10740" max="10740" width="56.28515625" style="18" customWidth="1"/>
    <col min="10741" max="10741" width="66.140625" style="18" customWidth="1"/>
    <col min="10742" max="10747" width="11" style="18" customWidth="1"/>
    <col min="10748" max="10748" width="13.42578125" style="18" customWidth="1"/>
    <col min="10749" max="10749" width="9" style="18" customWidth="1"/>
    <col min="10750" max="10990" width="9.28515625" style="18"/>
    <col min="10991" max="10991" width="9.7109375" style="18" customWidth="1"/>
    <col min="10992" max="10992" width="58.140625" style="18" customWidth="1"/>
    <col min="10993" max="10993" width="33.42578125" style="18" customWidth="1"/>
    <col min="10994" max="10994" width="22.140625" style="18" customWidth="1"/>
    <col min="10995" max="10995" width="25.42578125" style="18" customWidth="1"/>
    <col min="10996" max="10996" width="56.28515625" style="18" customWidth="1"/>
    <col min="10997" max="10997" width="66.140625" style="18" customWidth="1"/>
    <col min="10998" max="11003" width="11" style="18" customWidth="1"/>
    <col min="11004" max="11004" width="13.42578125" style="18" customWidth="1"/>
    <col min="11005" max="11005" width="9" style="18" customWidth="1"/>
    <col min="11006" max="11246" width="9.28515625" style="18"/>
    <col min="11247" max="11247" width="9.7109375" style="18" customWidth="1"/>
    <col min="11248" max="11248" width="58.140625" style="18" customWidth="1"/>
    <col min="11249" max="11249" width="33.42578125" style="18" customWidth="1"/>
    <col min="11250" max="11250" width="22.140625" style="18" customWidth="1"/>
    <col min="11251" max="11251" width="25.42578125" style="18" customWidth="1"/>
    <col min="11252" max="11252" width="56.28515625" style="18" customWidth="1"/>
    <col min="11253" max="11253" width="66.140625" style="18" customWidth="1"/>
    <col min="11254" max="11259" width="11" style="18" customWidth="1"/>
    <col min="11260" max="11260" width="13.42578125" style="18" customWidth="1"/>
    <col min="11261" max="11261" width="9" style="18" customWidth="1"/>
    <col min="11262" max="11502" width="9.28515625" style="18"/>
    <col min="11503" max="11503" width="9.7109375" style="18" customWidth="1"/>
    <col min="11504" max="11504" width="58.140625" style="18" customWidth="1"/>
    <col min="11505" max="11505" width="33.42578125" style="18" customWidth="1"/>
    <col min="11506" max="11506" width="22.140625" style="18" customWidth="1"/>
    <col min="11507" max="11507" width="25.42578125" style="18" customWidth="1"/>
    <col min="11508" max="11508" width="56.28515625" style="18" customWidth="1"/>
    <col min="11509" max="11509" width="66.140625" style="18" customWidth="1"/>
    <col min="11510" max="11515" width="11" style="18" customWidth="1"/>
    <col min="11516" max="11516" width="13.42578125" style="18" customWidth="1"/>
    <col min="11517" max="11517" width="9" style="18" customWidth="1"/>
    <col min="11518" max="11758" width="9.28515625" style="18"/>
    <col min="11759" max="11759" width="9.7109375" style="18" customWidth="1"/>
    <col min="11760" max="11760" width="58.140625" style="18" customWidth="1"/>
    <col min="11761" max="11761" width="33.42578125" style="18" customWidth="1"/>
    <col min="11762" max="11762" width="22.140625" style="18" customWidth="1"/>
    <col min="11763" max="11763" width="25.42578125" style="18" customWidth="1"/>
    <col min="11764" max="11764" width="56.28515625" style="18" customWidth="1"/>
    <col min="11765" max="11765" width="66.140625" style="18" customWidth="1"/>
    <col min="11766" max="11771" width="11" style="18" customWidth="1"/>
    <col min="11772" max="11772" width="13.42578125" style="18" customWidth="1"/>
    <col min="11773" max="11773" width="9" style="18" customWidth="1"/>
    <col min="11774" max="12014" width="9.28515625" style="18"/>
    <col min="12015" max="12015" width="9.7109375" style="18" customWidth="1"/>
    <col min="12016" max="12016" width="58.140625" style="18" customWidth="1"/>
    <col min="12017" max="12017" width="33.42578125" style="18" customWidth="1"/>
    <col min="12018" max="12018" width="22.140625" style="18" customWidth="1"/>
    <col min="12019" max="12019" width="25.42578125" style="18" customWidth="1"/>
    <col min="12020" max="12020" width="56.28515625" style="18" customWidth="1"/>
    <col min="12021" max="12021" width="66.140625" style="18" customWidth="1"/>
    <col min="12022" max="12027" width="11" style="18" customWidth="1"/>
    <col min="12028" max="12028" width="13.42578125" style="18" customWidth="1"/>
    <col min="12029" max="12029" width="9" style="18" customWidth="1"/>
    <col min="12030" max="12270" width="9.28515625" style="18"/>
    <col min="12271" max="12271" width="9.7109375" style="18" customWidth="1"/>
    <col min="12272" max="12272" width="58.140625" style="18" customWidth="1"/>
    <col min="12273" max="12273" width="33.42578125" style="18" customWidth="1"/>
    <col min="12274" max="12274" width="22.140625" style="18" customWidth="1"/>
    <col min="12275" max="12275" width="25.42578125" style="18" customWidth="1"/>
    <col min="12276" max="12276" width="56.28515625" style="18" customWidth="1"/>
    <col min="12277" max="12277" width="66.140625" style="18" customWidth="1"/>
    <col min="12278" max="12283" width="11" style="18" customWidth="1"/>
    <col min="12284" max="12284" width="13.42578125" style="18" customWidth="1"/>
    <col min="12285" max="12285" width="9" style="18" customWidth="1"/>
    <col min="12286" max="12526" width="9.28515625" style="18"/>
    <col min="12527" max="12527" width="9.7109375" style="18" customWidth="1"/>
    <col min="12528" max="12528" width="58.140625" style="18" customWidth="1"/>
    <col min="12529" max="12529" width="33.42578125" style="18" customWidth="1"/>
    <col min="12530" max="12530" width="22.140625" style="18" customWidth="1"/>
    <col min="12531" max="12531" width="25.42578125" style="18" customWidth="1"/>
    <col min="12532" max="12532" width="56.28515625" style="18" customWidth="1"/>
    <col min="12533" max="12533" width="66.140625" style="18" customWidth="1"/>
    <col min="12534" max="12539" width="11" style="18" customWidth="1"/>
    <col min="12540" max="12540" width="13.42578125" style="18" customWidth="1"/>
    <col min="12541" max="12541" width="9" style="18" customWidth="1"/>
    <col min="12542" max="12782" width="9.28515625" style="18"/>
    <col min="12783" max="12783" width="9.7109375" style="18" customWidth="1"/>
    <col min="12784" max="12784" width="58.140625" style="18" customWidth="1"/>
    <col min="12785" max="12785" width="33.42578125" style="18" customWidth="1"/>
    <col min="12786" max="12786" width="22.140625" style="18" customWidth="1"/>
    <col min="12787" max="12787" width="25.42578125" style="18" customWidth="1"/>
    <col min="12788" max="12788" width="56.28515625" style="18" customWidth="1"/>
    <col min="12789" max="12789" width="66.140625" style="18" customWidth="1"/>
    <col min="12790" max="12795" width="11" style="18" customWidth="1"/>
    <col min="12796" max="12796" width="13.42578125" style="18" customWidth="1"/>
    <col min="12797" max="12797" width="9" style="18" customWidth="1"/>
    <col min="12798" max="13038" width="9.28515625" style="18"/>
    <col min="13039" max="13039" width="9.7109375" style="18" customWidth="1"/>
    <col min="13040" max="13040" width="58.140625" style="18" customWidth="1"/>
    <col min="13041" max="13041" width="33.42578125" style="18" customWidth="1"/>
    <col min="13042" max="13042" width="22.140625" style="18" customWidth="1"/>
    <col min="13043" max="13043" width="25.42578125" style="18" customWidth="1"/>
    <col min="13044" max="13044" width="56.28515625" style="18" customWidth="1"/>
    <col min="13045" max="13045" width="66.140625" style="18" customWidth="1"/>
    <col min="13046" max="13051" width="11" style="18" customWidth="1"/>
    <col min="13052" max="13052" width="13.42578125" style="18" customWidth="1"/>
    <col min="13053" max="13053" width="9" style="18" customWidth="1"/>
    <col min="13054" max="13294" width="9.28515625" style="18"/>
    <col min="13295" max="13295" width="9.7109375" style="18" customWidth="1"/>
    <col min="13296" max="13296" width="58.140625" style="18" customWidth="1"/>
    <col min="13297" max="13297" width="33.42578125" style="18" customWidth="1"/>
    <col min="13298" max="13298" width="22.140625" style="18" customWidth="1"/>
    <col min="13299" max="13299" width="25.42578125" style="18" customWidth="1"/>
    <col min="13300" max="13300" width="56.28515625" style="18" customWidth="1"/>
    <col min="13301" max="13301" width="66.140625" style="18" customWidth="1"/>
    <col min="13302" max="13307" width="11" style="18" customWidth="1"/>
    <col min="13308" max="13308" width="13.42578125" style="18" customWidth="1"/>
    <col min="13309" max="13309" width="9" style="18" customWidth="1"/>
    <col min="13310" max="13550" width="9.28515625" style="18"/>
    <col min="13551" max="13551" width="9.7109375" style="18" customWidth="1"/>
    <col min="13552" max="13552" width="58.140625" style="18" customWidth="1"/>
    <col min="13553" max="13553" width="33.42578125" style="18" customWidth="1"/>
    <col min="13554" max="13554" width="22.140625" style="18" customWidth="1"/>
    <col min="13555" max="13555" width="25.42578125" style="18" customWidth="1"/>
    <col min="13556" max="13556" width="56.28515625" style="18" customWidth="1"/>
    <col min="13557" max="13557" width="66.140625" style="18" customWidth="1"/>
    <col min="13558" max="13563" width="11" style="18" customWidth="1"/>
    <col min="13564" max="13564" width="13.42578125" style="18" customWidth="1"/>
    <col min="13565" max="13565" width="9" style="18" customWidth="1"/>
    <col min="13566" max="13806" width="9.28515625" style="18"/>
    <col min="13807" max="13807" width="9.7109375" style="18" customWidth="1"/>
    <col min="13808" max="13808" width="58.140625" style="18" customWidth="1"/>
    <col min="13809" max="13809" width="33.42578125" style="18" customWidth="1"/>
    <col min="13810" max="13810" width="22.140625" style="18" customWidth="1"/>
    <col min="13811" max="13811" width="25.42578125" style="18" customWidth="1"/>
    <col min="13812" max="13812" width="56.28515625" style="18" customWidth="1"/>
    <col min="13813" max="13813" width="66.140625" style="18" customWidth="1"/>
    <col min="13814" max="13819" width="11" style="18" customWidth="1"/>
    <col min="13820" max="13820" width="13.42578125" style="18" customWidth="1"/>
    <col min="13821" max="13821" width="9" style="18" customWidth="1"/>
    <col min="13822" max="14062" width="9.28515625" style="18"/>
    <col min="14063" max="14063" width="9.7109375" style="18" customWidth="1"/>
    <col min="14064" max="14064" width="58.140625" style="18" customWidth="1"/>
    <col min="14065" max="14065" width="33.42578125" style="18" customWidth="1"/>
    <col min="14066" max="14066" width="22.140625" style="18" customWidth="1"/>
    <col min="14067" max="14067" width="25.42578125" style="18" customWidth="1"/>
    <col min="14068" max="14068" width="56.28515625" style="18" customWidth="1"/>
    <col min="14069" max="14069" width="66.140625" style="18" customWidth="1"/>
    <col min="14070" max="14075" width="11" style="18" customWidth="1"/>
    <col min="14076" max="14076" width="13.42578125" style="18" customWidth="1"/>
    <col min="14077" max="14077" width="9" style="18" customWidth="1"/>
    <col min="14078" max="14318" width="9.28515625" style="18"/>
    <col min="14319" max="14319" width="9.7109375" style="18" customWidth="1"/>
    <col min="14320" max="14320" width="58.140625" style="18" customWidth="1"/>
    <col min="14321" max="14321" width="33.42578125" style="18" customWidth="1"/>
    <col min="14322" max="14322" width="22.140625" style="18" customWidth="1"/>
    <col min="14323" max="14323" width="25.42578125" style="18" customWidth="1"/>
    <col min="14324" max="14324" width="56.28515625" style="18" customWidth="1"/>
    <col min="14325" max="14325" width="66.140625" style="18" customWidth="1"/>
    <col min="14326" max="14331" width="11" style="18" customWidth="1"/>
    <col min="14332" max="14332" width="13.42578125" style="18" customWidth="1"/>
    <col min="14333" max="14333" width="9" style="18" customWidth="1"/>
    <col min="14334" max="14574" width="9.28515625" style="18"/>
    <col min="14575" max="14575" width="9.7109375" style="18" customWidth="1"/>
    <col min="14576" max="14576" width="58.140625" style="18" customWidth="1"/>
    <col min="14577" max="14577" width="33.42578125" style="18" customWidth="1"/>
    <col min="14578" max="14578" width="22.140625" style="18" customWidth="1"/>
    <col min="14579" max="14579" width="25.42578125" style="18" customWidth="1"/>
    <col min="14580" max="14580" width="56.28515625" style="18" customWidth="1"/>
    <col min="14581" max="14581" width="66.140625" style="18" customWidth="1"/>
    <col min="14582" max="14587" width="11" style="18" customWidth="1"/>
    <col min="14588" max="14588" width="13.42578125" style="18" customWidth="1"/>
    <col min="14589" max="14589" width="9" style="18" customWidth="1"/>
    <col min="14590" max="14830" width="9.28515625" style="18"/>
    <col min="14831" max="14831" width="9.7109375" style="18" customWidth="1"/>
    <col min="14832" max="14832" width="58.140625" style="18" customWidth="1"/>
    <col min="14833" max="14833" width="33.42578125" style="18" customWidth="1"/>
    <col min="14834" max="14834" width="22.140625" style="18" customWidth="1"/>
    <col min="14835" max="14835" width="25.42578125" style="18" customWidth="1"/>
    <col min="14836" max="14836" width="56.28515625" style="18" customWidth="1"/>
    <col min="14837" max="14837" width="66.140625" style="18" customWidth="1"/>
    <col min="14838" max="14843" width="11" style="18" customWidth="1"/>
    <col min="14844" max="14844" width="13.42578125" style="18" customWidth="1"/>
    <col min="14845" max="14845" width="9" style="18" customWidth="1"/>
    <col min="14846" max="15086" width="9.28515625" style="18"/>
    <col min="15087" max="15087" width="9.7109375" style="18" customWidth="1"/>
    <col min="15088" max="15088" width="58.140625" style="18" customWidth="1"/>
    <col min="15089" max="15089" width="33.42578125" style="18" customWidth="1"/>
    <col min="15090" max="15090" width="22.140625" style="18" customWidth="1"/>
    <col min="15091" max="15091" width="25.42578125" style="18" customWidth="1"/>
    <col min="15092" max="15092" width="56.28515625" style="18" customWidth="1"/>
    <col min="15093" max="15093" width="66.140625" style="18" customWidth="1"/>
    <col min="15094" max="15099" width="11" style="18" customWidth="1"/>
    <col min="15100" max="15100" width="13.42578125" style="18" customWidth="1"/>
    <col min="15101" max="15101" width="9" style="18" customWidth="1"/>
    <col min="15102" max="15342" width="9.28515625" style="18"/>
    <col min="15343" max="15343" width="9.7109375" style="18" customWidth="1"/>
    <col min="15344" max="15344" width="58.140625" style="18" customWidth="1"/>
    <col min="15345" max="15345" width="33.42578125" style="18" customWidth="1"/>
    <col min="15346" max="15346" width="22.140625" style="18" customWidth="1"/>
    <col min="15347" max="15347" width="25.42578125" style="18" customWidth="1"/>
    <col min="15348" max="15348" width="56.28515625" style="18" customWidth="1"/>
    <col min="15349" max="15349" width="66.140625" style="18" customWidth="1"/>
    <col min="15350" max="15355" width="11" style="18" customWidth="1"/>
    <col min="15356" max="15356" width="13.42578125" style="18" customWidth="1"/>
    <col min="15357" max="15357" width="9" style="18" customWidth="1"/>
    <col min="15358" max="15598" width="9.28515625" style="18"/>
    <col min="15599" max="15599" width="9.7109375" style="18" customWidth="1"/>
    <col min="15600" max="15600" width="58.140625" style="18" customWidth="1"/>
    <col min="15601" max="15601" width="33.42578125" style="18" customWidth="1"/>
    <col min="15602" max="15602" width="22.140625" style="18" customWidth="1"/>
    <col min="15603" max="15603" width="25.42578125" style="18" customWidth="1"/>
    <col min="15604" max="15604" width="56.28515625" style="18" customWidth="1"/>
    <col min="15605" max="15605" width="66.140625" style="18" customWidth="1"/>
    <col min="15606" max="15611" width="11" style="18" customWidth="1"/>
    <col min="15612" max="15612" width="13.42578125" style="18" customWidth="1"/>
    <col min="15613" max="15613" width="9" style="18" customWidth="1"/>
    <col min="15614" max="15854" width="9.28515625" style="18"/>
    <col min="15855" max="15855" width="9.7109375" style="18" customWidth="1"/>
    <col min="15856" max="15856" width="58.140625" style="18" customWidth="1"/>
    <col min="15857" max="15857" width="33.42578125" style="18" customWidth="1"/>
    <col min="15858" max="15858" width="22.140625" style="18" customWidth="1"/>
    <col min="15859" max="15859" width="25.42578125" style="18" customWidth="1"/>
    <col min="15860" max="15860" width="56.28515625" style="18" customWidth="1"/>
    <col min="15861" max="15861" width="66.140625" style="18" customWidth="1"/>
    <col min="15862" max="15867" width="11" style="18" customWidth="1"/>
    <col min="15868" max="15868" width="13.42578125" style="18" customWidth="1"/>
    <col min="15869" max="15869" width="9" style="18" customWidth="1"/>
    <col min="15870" max="16110" width="9.28515625" style="18"/>
    <col min="16111" max="16111" width="9.7109375" style="18" customWidth="1"/>
    <col min="16112" max="16112" width="58.140625" style="18" customWidth="1"/>
    <col min="16113" max="16113" width="33.42578125" style="18" customWidth="1"/>
    <col min="16114" max="16114" width="22.140625" style="18" customWidth="1"/>
    <col min="16115" max="16115" width="25.42578125" style="18" customWidth="1"/>
    <col min="16116" max="16116" width="56.28515625" style="18" customWidth="1"/>
    <col min="16117" max="16117" width="66.140625" style="18" customWidth="1"/>
    <col min="16118" max="16123" width="11" style="18" customWidth="1"/>
    <col min="16124" max="16124" width="13.42578125" style="18" customWidth="1"/>
    <col min="16125" max="16125" width="9" style="18" customWidth="1"/>
    <col min="16126" max="16384" width="9.28515625" style="18"/>
  </cols>
  <sheetData>
    <row r="1" spans="1:26" s="16" customFormat="1" ht="22.5" customHeight="1">
      <c r="A1" s="17" t="s">
        <v>640</v>
      </c>
      <c r="B1" s="17"/>
      <c r="C1" s="17"/>
      <c r="D1" s="17"/>
      <c r="E1" s="17"/>
      <c r="F1" s="17"/>
      <c r="G1" s="17"/>
      <c r="H1" s="17"/>
      <c r="I1" s="17"/>
      <c r="J1" s="17"/>
      <c r="K1" s="17"/>
      <c r="L1" s="17"/>
      <c r="M1" s="17"/>
      <c r="N1" s="17"/>
      <c r="O1" s="17"/>
      <c r="P1" s="17"/>
      <c r="Q1" s="17"/>
      <c r="R1" s="17"/>
      <c r="S1" s="17"/>
      <c r="T1" s="297"/>
      <c r="U1" s="297"/>
      <c r="V1" s="297"/>
      <c r="W1" s="297"/>
      <c r="X1" s="323" t="s">
        <v>648</v>
      </c>
      <c r="Y1" s="323"/>
    </row>
    <row r="2" spans="1:26" s="17" customFormat="1" ht="24" customHeight="1">
      <c r="A2" s="317" t="s">
        <v>646</v>
      </c>
      <c r="B2" s="317"/>
      <c r="C2" s="317"/>
      <c r="D2" s="317"/>
      <c r="E2" s="317"/>
      <c r="F2" s="317"/>
      <c r="G2" s="317"/>
      <c r="H2" s="317"/>
      <c r="I2" s="317"/>
      <c r="J2" s="317"/>
      <c r="K2" s="317"/>
      <c r="L2" s="317"/>
      <c r="M2" s="317"/>
      <c r="N2" s="317"/>
      <c r="O2" s="317"/>
      <c r="P2" s="317"/>
      <c r="Q2" s="317"/>
      <c r="R2" s="317"/>
      <c r="S2" s="317"/>
      <c r="T2" s="317"/>
      <c r="U2" s="317"/>
      <c r="V2" s="317"/>
      <c r="W2" s="317"/>
      <c r="X2" s="317"/>
      <c r="Y2" s="317"/>
    </row>
    <row r="3" spans="1:26" ht="15" customHeight="1">
      <c r="R3" s="257"/>
    </row>
    <row r="4" spans="1:26" ht="21.75" customHeight="1">
      <c r="A4" s="16"/>
      <c r="B4" s="16"/>
      <c r="C4" s="359"/>
      <c r="D4" s="360"/>
      <c r="E4" s="16"/>
      <c r="F4" s="16"/>
      <c r="G4" s="361"/>
      <c r="H4" s="362"/>
      <c r="I4" s="16"/>
      <c r="J4" s="363"/>
      <c r="K4" s="363"/>
      <c r="L4" s="363"/>
      <c r="M4" s="363"/>
      <c r="N4" s="363"/>
      <c r="O4" s="363"/>
      <c r="P4" s="363"/>
      <c r="Q4" s="16"/>
      <c r="R4" s="364"/>
      <c r="S4" s="16"/>
      <c r="T4" s="366"/>
      <c r="U4" s="461"/>
      <c r="V4" s="462"/>
      <c r="W4" s="365"/>
      <c r="X4" s="366"/>
      <c r="Y4" s="366"/>
    </row>
    <row r="5" spans="1:26" ht="34.5" customHeight="1">
      <c r="A5" s="367" t="s">
        <v>0</v>
      </c>
      <c r="B5" s="368" t="s">
        <v>70</v>
      </c>
      <c r="C5" s="369" t="s">
        <v>71</v>
      </c>
      <c r="D5" s="368" t="s">
        <v>145</v>
      </c>
      <c r="E5" s="370" t="s">
        <v>146</v>
      </c>
      <c r="F5" s="370" t="s">
        <v>147</v>
      </c>
      <c r="G5" s="371" t="s">
        <v>148</v>
      </c>
      <c r="H5" s="368" t="s">
        <v>149</v>
      </c>
      <c r="I5" s="368"/>
      <c r="J5" s="368"/>
      <c r="K5" s="372" t="s">
        <v>150</v>
      </c>
      <c r="L5" s="373"/>
      <c r="M5" s="372" t="s">
        <v>151</v>
      </c>
      <c r="N5" s="374"/>
      <c r="O5" s="374"/>
      <c r="P5" s="375"/>
      <c r="Q5" s="376" t="s">
        <v>152</v>
      </c>
      <c r="R5" s="377" t="s">
        <v>305</v>
      </c>
      <c r="S5" s="377"/>
      <c r="T5" s="373"/>
      <c r="U5" s="463" t="s">
        <v>642</v>
      </c>
      <c r="V5" s="463"/>
      <c r="W5" s="463"/>
      <c r="X5" s="368" t="s">
        <v>135</v>
      </c>
      <c r="Y5" s="368" t="s">
        <v>1</v>
      </c>
    </row>
    <row r="6" spans="1:26">
      <c r="A6" s="367"/>
      <c r="B6" s="368"/>
      <c r="C6" s="378"/>
      <c r="D6" s="368"/>
      <c r="E6" s="379"/>
      <c r="F6" s="379"/>
      <c r="G6" s="371"/>
      <c r="H6" s="380" t="s">
        <v>153</v>
      </c>
      <c r="I6" s="368" t="s">
        <v>154</v>
      </c>
      <c r="J6" s="368"/>
      <c r="K6" s="381"/>
      <c r="L6" s="382"/>
      <c r="M6" s="383"/>
      <c r="N6" s="384"/>
      <c r="O6" s="384"/>
      <c r="P6" s="385"/>
      <c r="Q6" s="386"/>
      <c r="R6" s="387"/>
      <c r="S6" s="387"/>
      <c r="T6" s="388"/>
      <c r="U6" s="463"/>
      <c r="V6" s="463"/>
      <c r="W6" s="463"/>
      <c r="X6" s="368"/>
      <c r="Y6" s="368"/>
    </row>
    <row r="7" spans="1:26">
      <c r="A7" s="367"/>
      <c r="B7" s="368"/>
      <c r="C7" s="378"/>
      <c r="D7" s="368"/>
      <c r="E7" s="379"/>
      <c r="F7" s="379"/>
      <c r="G7" s="371"/>
      <c r="H7" s="380"/>
      <c r="I7" s="370" t="s">
        <v>155</v>
      </c>
      <c r="J7" s="370" t="s">
        <v>156</v>
      </c>
      <c r="K7" s="368"/>
      <c r="L7" s="379"/>
      <c r="M7" s="368"/>
      <c r="N7" s="370" t="s">
        <v>34</v>
      </c>
      <c r="O7" s="368" t="s">
        <v>157</v>
      </c>
      <c r="P7" s="368"/>
      <c r="Q7" s="368"/>
      <c r="R7" s="370" t="s">
        <v>34</v>
      </c>
      <c r="S7" s="368" t="s">
        <v>157</v>
      </c>
      <c r="T7" s="368"/>
      <c r="U7" s="389" t="s">
        <v>34</v>
      </c>
      <c r="V7" s="368" t="s">
        <v>157</v>
      </c>
      <c r="W7" s="368"/>
      <c r="X7" s="368"/>
      <c r="Y7" s="368"/>
      <c r="Z7" s="50"/>
    </row>
    <row r="8" spans="1:26" ht="74.25" customHeight="1">
      <c r="A8" s="367"/>
      <c r="B8" s="368"/>
      <c r="C8" s="390"/>
      <c r="D8" s="368"/>
      <c r="E8" s="391"/>
      <c r="F8" s="391"/>
      <c r="G8" s="371"/>
      <c r="H8" s="380"/>
      <c r="I8" s="391"/>
      <c r="J8" s="391"/>
      <c r="K8" s="392"/>
      <c r="L8" s="391"/>
      <c r="M8" s="392"/>
      <c r="N8" s="391"/>
      <c r="O8" s="393" t="s">
        <v>158</v>
      </c>
      <c r="P8" s="393" t="s">
        <v>159</v>
      </c>
      <c r="Q8" s="392"/>
      <c r="R8" s="391"/>
      <c r="S8" s="394" t="s">
        <v>328</v>
      </c>
      <c r="T8" s="395" t="s">
        <v>327</v>
      </c>
      <c r="U8" s="396"/>
      <c r="V8" s="395" t="s">
        <v>328</v>
      </c>
      <c r="W8" s="397" t="s">
        <v>327</v>
      </c>
      <c r="X8" s="368"/>
      <c r="Y8" s="368"/>
      <c r="Z8" s="50"/>
    </row>
    <row r="9" spans="1:26" ht="16.5" customHeight="1">
      <c r="A9" s="398">
        <v>1</v>
      </c>
      <c r="B9" s="399">
        <v>2</v>
      </c>
      <c r="C9" s="400">
        <v>3</v>
      </c>
      <c r="D9" s="398">
        <v>4</v>
      </c>
      <c r="E9" s="398">
        <v>5</v>
      </c>
      <c r="F9" s="398">
        <v>6</v>
      </c>
      <c r="G9" s="400">
        <v>7</v>
      </c>
      <c r="H9" s="401">
        <v>6</v>
      </c>
      <c r="I9" s="399">
        <v>8</v>
      </c>
      <c r="J9" s="398">
        <v>9</v>
      </c>
      <c r="K9" s="399">
        <v>9</v>
      </c>
      <c r="L9" s="398">
        <v>10</v>
      </c>
      <c r="M9" s="399">
        <v>11</v>
      </c>
      <c r="N9" s="398">
        <v>12</v>
      </c>
      <c r="O9" s="399">
        <v>13</v>
      </c>
      <c r="P9" s="398">
        <v>14</v>
      </c>
      <c r="Q9" s="399">
        <v>15</v>
      </c>
      <c r="R9" s="398">
        <v>10</v>
      </c>
      <c r="S9" s="399">
        <v>11</v>
      </c>
      <c r="T9" s="402" t="s">
        <v>115</v>
      </c>
      <c r="U9" s="402" t="s">
        <v>116</v>
      </c>
      <c r="V9" s="402" t="s">
        <v>118</v>
      </c>
      <c r="W9" s="403" t="s">
        <v>119</v>
      </c>
      <c r="X9" s="398">
        <v>16</v>
      </c>
      <c r="Y9" s="398">
        <v>17</v>
      </c>
      <c r="Z9" s="50"/>
    </row>
    <row r="10" spans="1:26" ht="16.5" customHeight="1">
      <c r="A10" s="404"/>
      <c r="B10" s="405" t="s">
        <v>634</v>
      </c>
      <c r="C10" s="406"/>
      <c r="D10" s="407"/>
      <c r="E10" s="407"/>
      <c r="F10" s="407"/>
      <c r="G10" s="406"/>
      <c r="H10" s="408"/>
      <c r="I10" s="409" t="e">
        <f>#REF!+#REF!</f>
        <v>#REF!</v>
      </c>
      <c r="J10" s="409" t="e">
        <f>#REF!+#REF!</f>
        <v>#REF!</v>
      </c>
      <c r="K10" s="409" t="e">
        <f>#REF!+#REF!</f>
        <v>#REF!</v>
      </c>
      <c r="L10" s="409" t="e">
        <f>#REF!+#REF!</f>
        <v>#REF!</v>
      </c>
      <c r="M10" s="409" t="e">
        <f>#REF!+#REF!</f>
        <v>#REF!</v>
      </c>
      <c r="N10" s="409" t="e">
        <f>#REF!+#REF!</f>
        <v>#REF!</v>
      </c>
      <c r="O10" s="409" t="e">
        <f>#REF!+#REF!</f>
        <v>#REF!</v>
      </c>
      <c r="P10" s="409" t="e">
        <f>#REF!+#REF!</f>
        <v>#REF!</v>
      </c>
      <c r="Q10" s="409" t="e">
        <f>#REF!+#REF!</f>
        <v>#REF!</v>
      </c>
      <c r="R10" s="409">
        <f>R11+R79</f>
        <v>93044.204857777775</v>
      </c>
      <c r="S10" s="409">
        <f t="shared" ref="S10:W10" si="0">S11+S79</f>
        <v>72673.998793777777</v>
      </c>
      <c r="T10" s="409">
        <f t="shared" si="0"/>
        <v>20370.206064000002</v>
      </c>
      <c r="U10" s="409">
        <f t="shared" si="0"/>
        <v>33022.697620999999</v>
      </c>
      <c r="V10" s="409">
        <f t="shared" si="0"/>
        <v>27647.662620999999</v>
      </c>
      <c r="W10" s="409">
        <f t="shared" si="0"/>
        <v>5375.0350000000008</v>
      </c>
      <c r="X10" s="258">
        <f>U10/R10*100</f>
        <v>35.491407198843461</v>
      </c>
      <c r="Y10" s="407"/>
      <c r="Z10" s="50"/>
    </row>
    <row r="11" spans="1:26" ht="48" customHeight="1">
      <c r="A11" s="464" t="s">
        <v>3</v>
      </c>
      <c r="B11" s="465" t="s">
        <v>329</v>
      </c>
      <c r="C11" s="466"/>
      <c r="D11" s="464"/>
      <c r="E11" s="464"/>
      <c r="F11" s="464"/>
      <c r="G11" s="466"/>
      <c r="H11" s="467"/>
      <c r="I11" s="468">
        <f t="shared" ref="I11:S11" si="1">I12+I36+I39+I55+I63+I77</f>
        <v>207677.52273319691</v>
      </c>
      <c r="J11" s="468">
        <f t="shared" si="1"/>
        <v>188804.02248472444</v>
      </c>
      <c r="K11" s="468">
        <f t="shared" si="1"/>
        <v>166337.81085328889</v>
      </c>
      <c r="L11" s="468">
        <f t="shared" si="1"/>
        <v>49295.191699999996</v>
      </c>
      <c r="M11" s="468">
        <f t="shared" si="1"/>
        <v>207677.52273319691</v>
      </c>
      <c r="N11" s="468">
        <f t="shared" si="1"/>
        <v>188804.02248472444</v>
      </c>
      <c r="O11" s="468">
        <f t="shared" si="1"/>
        <v>0</v>
      </c>
      <c r="P11" s="468">
        <f t="shared" si="1"/>
        <v>0</v>
      </c>
      <c r="Q11" s="468">
        <f t="shared" si="1"/>
        <v>73655.327038311108</v>
      </c>
      <c r="R11" s="468">
        <f t="shared" si="1"/>
        <v>72673.998793777777</v>
      </c>
      <c r="S11" s="468">
        <f t="shared" si="1"/>
        <v>72673.998793777777</v>
      </c>
      <c r="T11" s="468">
        <f t="shared" ref="T11:W11" si="2">T12+T36+T39+T55+T63+T77</f>
        <v>0</v>
      </c>
      <c r="U11" s="468">
        <f>U12+U36+U39+U55+U63+U77</f>
        <v>27647.662620999999</v>
      </c>
      <c r="V11" s="469">
        <f t="shared" si="2"/>
        <v>27647.662620999999</v>
      </c>
      <c r="W11" s="470">
        <f t="shared" si="2"/>
        <v>0</v>
      </c>
      <c r="X11" s="469">
        <f>U11/R11*100</f>
        <v>38.043403527930195</v>
      </c>
      <c r="Y11" s="468">
        <f t="shared" ref="Y11" si="3">Y12+Y36+Y39+Y55+Y63+Y77</f>
        <v>0</v>
      </c>
      <c r="Z11" s="300"/>
    </row>
    <row r="12" spans="1:26">
      <c r="A12" s="411">
        <v>1</v>
      </c>
      <c r="B12" s="414" t="s">
        <v>36</v>
      </c>
      <c r="C12" s="412"/>
      <c r="D12" s="410"/>
      <c r="E12" s="415"/>
      <c r="F12" s="415"/>
      <c r="G12" s="416"/>
      <c r="H12" s="417"/>
      <c r="I12" s="288">
        <f t="shared" ref="I12:R12" si="4">I13+I16+I20+I29</f>
        <v>17615.3766622</v>
      </c>
      <c r="J12" s="288">
        <f t="shared" si="4"/>
        <v>16013.980602</v>
      </c>
      <c r="K12" s="288">
        <f t="shared" si="4"/>
        <v>6909.8482899999999</v>
      </c>
      <c r="L12" s="288">
        <f t="shared" si="4"/>
        <v>4263.4076999999997</v>
      </c>
      <c r="M12" s="288">
        <f t="shared" si="4"/>
        <v>17615.3766622</v>
      </c>
      <c r="N12" s="288">
        <f t="shared" si="4"/>
        <v>16013.980602</v>
      </c>
      <c r="O12" s="288">
        <f t="shared" si="4"/>
        <v>0</v>
      </c>
      <c r="P12" s="288">
        <f t="shared" si="4"/>
        <v>0</v>
      </c>
      <c r="Q12" s="288">
        <f t="shared" si="4"/>
        <v>6110.9241999999995</v>
      </c>
      <c r="R12" s="286">
        <f t="shared" si="4"/>
        <v>5844.9961999999996</v>
      </c>
      <c r="S12" s="286">
        <f>S13+S16+S20+S29</f>
        <v>5844.9961999999996</v>
      </c>
      <c r="T12" s="286">
        <f t="shared" ref="T12:W12" si="5">T13+T16+T20+T29</f>
        <v>0</v>
      </c>
      <c r="U12" s="286">
        <f>U13+U16+U20+U29</f>
        <v>2221.0129999999999</v>
      </c>
      <c r="V12" s="286">
        <f t="shared" si="5"/>
        <v>2221.0129999999999</v>
      </c>
      <c r="W12" s="299">
        <f t="shared" si="5"/>
        <v>0</v>
      </c>
      <c r="X12" s="52">
        <f t="shared" ref="X12:X36" si="6">U12/R12*100</f>
        <v>37.998536252256251</v>
      </c>
      <c r="Y12" s="286">
        <f t="shared" ref="Y12" si="7">Y13+Y16+Y20+Y29</f>
        <v>0</v>
      </c>
      <c r="Z12" s="50"/>
    </row>
    <row r="13" spans="1:26">
      <c r="A13" s="418" t="s">
        <v>73</v>
      </c>
      <c r="B13" s="414" t="s">
        <v>74</v>
      </c>
      <c r="C13" s="419"/>
      <c r="D13" s="420"/>
      <c r="E13" s="421"/>
      <c r="F13" s="421"/>
      <c r="G13" s="422"/>
      <c r="H13" s="423"/>
      <c r="I13" s="424">
        <f>I14+I15</f>
        <v>611.19070319999992</v>
      </c>
      <c r="J13" s="424">
        <f t="shared" ref="J13:Q13" si="8">J14+J15</f>
        <v>555.62791199999992</v>
      </c>
      <c r="K13" s="424">
        <f t="shared" si="8"/>
        <v>162.94647000000001</v>
      </c>
      <c r="L13" s="424">
        <f t="shared" si="8"/>
        <v>158.9777</v>
      </c>
      <c r="M13" s="424">
        <f t="shared" si="8"/>
        <v>611.19070319999992</v>
      </c>
      <c r="N13" s="424">
        <f t="shared" si="8"/>
        <v>555.62791199999992</v>
      </c>
      <c r="O13" s="424">
        <f t="shared" si="8"/>
        <v>0</v>
      </c>
      <c r="P13" s="424">
        <f t="shared" si="8"/>
        <v>0</v>
      </c>
      <c r="Q13" s="424">
        <f t="shared" si="8"/>
        <v>119.07</v>
      </c>
      <c r="R13" s="424">
        <f>R14+R15</f>
        <v>119.07</v>
      </c>
      <c r="S13" s="424">
        <f>S14+S15</f>
        <v>119.07</v>
      </c>
      <c r="T13" s="283"/>
      <c r="U13" s="283">
        <f t="shared" ref="U13:U46" si="9">V13+W13</f>
        <v>0</v>
      </c>
      <c r="V13" s="283"/>
      <c r="W13" s="284"/>
      <c r="X13" s="52">
        <f t="shared" si="6"/>
        <v>0</v>
      </c>
      <c r="Y13" s="421"/>
    </row>
    <row r="14" spans="1:26">
      <c r="A14" s="425" t="s">
        <v>75</v>
      </c>
      <c r="B14" s="426" t="s">
        <v>64</v>
      </c>
      <c r="C14" s="419" t="s">
        <v>165</v>
      </c>
      <c r="D14" s="420" t="s">
        <v>64</v>
      </c>
      <c r="E14" s="421"/>
      <c r="F14" s="421"/>
      <c r="G14" s="422" t="s">
        <v>77</v>
      </c>
      <c r="H14" s="423"/>
      <c r="I14" s="22">
        <v>174.62591519999998</v>
      </c>
      <c r="J14" s="22">
        <v>158.75083199999997</v>
      </c>
      <c r="K14" s="22">
        <v>43.656469999999999</v>
      </c>
      <c r="L14" s="22">
        <v>39.6877</v>
      </c>
      <c r="M14" s="22">
        <v>174.62591519999998</v>
      </c>
      <c r="N14" s="22">
        <v>158.75083199999997</v>
      </c>
      <c r="O14" s="421"/>
      <c r="P14" s="421"/>
      <c r="Q14" s="22">
        <v>39.69</v>
      </c>
      <c r="R14" s="22">
        <v>39.69</v>
      </c>
      <c r="S14" s="22">
        <v>39.69</v>
      </c>
      <c r="T14" s="283"/>
      <c r="U14" s="283">
        <f t="shared" si="9"/>
        <v>0</v>
      </c>
      <c r="V14" s="283"/>
      <c r="W14" s="284"/>
      <c r="X14" s="52">
        <f t="shared" si="6"/>
        <v>0</v>
      </c>
      <c r="Y14" s="421"/>
    </row>
    <row r="15" spans="1:26">
      <c r="A15" s="425" t="s">
        <v>78</v>
      </c>
      <c r="B15" s="426" t="s">
        <v>65</v>
      </c>
      <c r="C15" s="419" t="s">
        <v>142</v>
      </c>
      <c r="D15" s="420" t="s">
        <v>65</v>
      </c>
      <c r="E15" s="421"/>
      <c r="F15" s="421"/>
      <c r="G15" s="422" t="s">
        <v>77</v>
      </c>
      <c r="H15" s="423"/>
      <c r="I15" s="22">
        <v>436.56478799999991</v>
      </c>
      <c r="J15" s="22">
        <v>396.87707999999992</v>
      </c>
      <c r="K15" s="421">
        <v>119.29</v>
      </c>
      <c r="L15" s="421">
        <v>119.29</v>
      </c>
      <c r="M15" s="22">
        <v>436.56478799999991</v>
      </c>
      <c r="N15" s="22">
        <v>396.87707999999992</v>
      </c>
      <c r="O15" s="421"/>
      <c r="P15" s="421"/>
      <c r="Q15" s="22">
        <v>79.38</v>
      </c>
      <c r="R15" s="22">
        <v>79.38</v>
      </c>
      <c r="S15" s="22">
        <v>79.38</v>
      </c>
      <c r="T15" s="283"/>
      <c r="U15" s="283">
        <f t="shared" si="9"/>
        <v>0</v>
      </c>
      <c r="V15" s="283"/>
      <c r="W15" s="284"/>
      <c r="X15" s="52">
        <f t="shared" si="6"/>
        <v>0</v>
      </c>
      <c r="Y15" s="421"/>
    </row>
    <row r="16" spans="1:26">
      <c r="A16" s="418" t="s">
        <v>79</v>
      </c>
      <c r="B16" s="414" t="s">
        <v>80</v>
      </c>
      <c r="C16" s="412"/>
      <c r="D16" s="410"/>
      <c r="E16" s="415"/>
      <c r="F16" s="415"/>
      <c r="G16" s="416"/>
      <c r="H16" s="417"/>
      <c r="I16" s="424">
        <f t="shared" ref="I16:R16" si="10">SUM(I17:I19)</f>
        <v>960.43</v>
      </c>
      <c r="J16" s="424">
        <f t="shared" si="10"/>
        <v>873.12</v>
      </c>
      <c r="K16" s="424">
        <f t="shared" si="10"/>
        <v>198.43</v>
      </c>
      <c r="L16" s="424">
        <f t="shared" si="10"/>
        <v>198.43</v>
      </c>
      <c r="M16" s="424">
        <f t="shared" si="10"/>
        <v>960.43</v>
      </c>
      <c r="N16" s="424">
        <f t="shared" si="10"/>
        <v>873.12</v>
      </c>
      <c r="O16" s="424">
        <f t="shared" si="10"/>
        <v>0</v>
      </c>
      <c r="P16" s="424">
        <f t="shared" si="10"/>
        <v>0</v>
      </c>
      <c r="Q16" s="424">
        <f t="shared" si="10"/>
        <v>238.14</v>
      </c>
      <c r="R16" s="424">
        <f t="shared" si="10"/>
        <v>238.14</v>
      </c>
      <c r="S16" s="424">
        <f t="shared" ref="S16" si="11">SUM(S17:S19)</f>
        <v>238.14</v>
      </c>
      <c r="T16" s="51"/>
      <c r="U16" s="283">
        <f t="shared" si="9"/>
        <v>0</v>
      </c>
      <c r="V16" s="51"/>
      <c r="W16" s="285"/>
      <c r="X16" s="52">
        <f t="shared" si="6"/>
        <v>0</v>
      </c>
      <c r="Y16" s="415"/>
      <c r="Z16" s="50"/>
    </row>
    <row r="17" spans="1:26">
      <c r="A17" s="425" t="s">
        <v>81</v>
      </c>
      <c r="B17" s="426" t="s">
        <v>64</v>
      </c>
      <c r="C17" s="419" t="s">
        <v>165</v>
      </c>
      <c r="D17" s="420" t="s">
        <v>64</v>
      </c>
      <c r="E17" s="421"/>
      <c r="F17" s="421"/>
      <c r="G17" s="422" t="s">
        <v>77</v>
      </c>
      <c r="H17" s="423"/>
      <c r="I17" s="22">
        <v>392.9</v>
      </c>
      <c r="J17" s="22">
        <v>357.19</v>
      </c>
      <c r="K17" s="421"/>
      <c r="L17" s="421"/>
      <c r="M17" s="22">
        <v>392.9</v>
      </c>
      <c r="N17" s="22">
        <v>357.19</v>
      </c>
      <c r="O17" s="421"/>
      <c r="P17" s="421"/>
      <c r="Q17" s="22">
        <v>39.69</v>
      </c>
      <c r="R17" s="22">
        <v>39.69</v>
      </c>
      <c r="S17" s="22">
        <v>39.69</v>
      </c>
      <c r="T17" s="283"/>
      <c r="U17" s="283">
        <f t="shared" si="9"/>
        <v>0</v>
      </c>
      <c r="V17" s="283"/>
      <c r="W17" s="284"/>
      <c r="X17" s="52">
        <f t="shared" si="6"/>
        <v>0</v>
      </c>
      <c r="Y17" s="421"/>
    </row>
    <row r="18" spans="1:26">
      <c r="A18" s="425" t="s">
        <v>82</v>
      </c>
      <c r="B18" s="426" t="s">
        <v>65</v>
      </c>
      <c r="C18" s="419" t="s">
        <v>142</v>
      </c>
      <c r="D18" s="420" t="s">
        <v>65</v>
      </c>
      <c r="E18" s="421"/>
      <c r="F18" s="421"/>
      <c r="G18" s="422" t="s">
        <v>77</v>
      </c>
      <c r="H18" s="423"/>
      <c r="I18" s="22">
        <v>218.28</v>
      </c>
      <c r="J18" s="22">
        <v>198.43</v>
      </c>
      <c r="K18" s="421">
        <v>79.37</v>
      </c>
      <c r="L18" s="421">
        <v>79.37</v>
      </c>
      <c r="M18" s="22">
        <v>218.28</v>
      </c>
      <c r="N18" s="22">
        <v>198.43</v>
      </c>
      <c r="O18" s="421"/>
      <c r="P18" s="421"/>
      <c r="Q18" s="22">
        <f>R18</f>
        <v>119.06</v>
      </c>
      <c r="R18" s="22">
        <f>N18-L18</f>
        <v>119.06</v>
      </c>
      <c r="S18" s="22">
        <f>R18</f>
        <v>119.06</v>
      </c>
      <c r="T18" s="283"/>
      <c r="U18" s="283">
        <f t="shared" si="9"/>
        <v>0</v>
      </c>
      <c r="V18" s="283"/>
      <c r="W18" s="284"/>
      <c r="X18" s="52">
        <f t="shared" si="6"/>
        <v>0</v>
      </c>
      <c r="Y18" s="421"/>
    </row>
    <row r="19" spans="1:26">
      <c r="A19" s="425" t="s">
        <v>166</v>
      </c>
      <c r="B19" s="426" t="s">
        <v>76</v>
      </c>
      <c r="C19" s="427" t="s">
        <v>167</v>
      </c>
      <c r="D19" s="420" t="s">
        <v>168</v>
      </c>
      <c r="E19" s="421"/>
      <c r="F19" s="421"/>
      <c r="G19" s="422" t="s">
        <v>77</v>
      </c>
      <c r="H19" s="423"/>
      <c r="I19" s="22">
        <v>349.25</v>
      </c>
      <c r="J19" s="22">
        <v>317.5</v>
      </c>
      <c r="K19" s="421">
        <v>119.06</v>
      </c>
      <c r="L19" s="421">
        <v>119.06</v>
      </c>
      <c r="M19" s="22">
        <v>349.25</v>
      </c>
      <c r="N19" s="22">
        <v>317.5</v>
      </c>
      <c r="O19" s="421"/>
      <c r="P19" s="421"/>
      <c r="Q19" s="22">
        <f>R19</f>
        <v>79.39</v>
      </c>
      <c r="R19" s="22">
        <f>N19-L19-119.05</f>
        <v>79.39</v>
      </c>
      <c r="S19" s="22">
        <f>R19</f>
        <v>79.39</v>
      </c>
      <c r="T19" s="283"/>
      <c r="U19" s="283">
        <f t="shared" si="9"/>
        <v>0</v>
      </c>
      <c r="V19" s="283"/>
      <c r="W19" s="284"/>
      <c r="X19" s="52">
        <f t="shared" si="6"/>
        <v>0</v>
      </c>
      <c r="Y19" s="421"/>
    </row>
    <row r="20" spans="1:26">
      <c r="A20" s="418" t="s">
        <v>162</v>
      </c>
      <c r="B20" s="428" t="s">
        <v>169</v>
      </c>
      <c r="C20" s="419"/>
      <c r="D20" s="420"/>
      <c r="E20" s="421"/>
      <c r="F20" s="421"/>
      <c r="G20" s="422"/>
      <c r="H20" s="423"/>
      <c r="I20" s="424">
        <f>SUM(I21:I28)</f>
        <v>2946.8123190000001</v>
      </c>
      <c r="J20" s="424">
        <f t="shared" ref="J20:R20" si="12">SUM(J21:J28)</f>
        <v>2678.92029</v>
      </c>
      <c r="K20" s="424">
        <f t="shared" si="12"/>
        <v>0</v>
      </c>
      <c r="L20" s="424">
        <f t="shared" si="12"/>
        <v>0</v>
      </c>
      <c r="M20" s="424">
        <f t="shared" si="12"/>
        <v>2946.8123190000001</v>
      </c>
      <c r="N20" s="424">
        <f t="shared" si="12"/>
        <v>2678.92029</v>
      </c>
      <c r="O20" s="424">
        <f t="shared" si="12"/>
        <v>0</v>
      </c>
      <c r="P20" s="424">
        <f t="shared" si="12"/>
        <v>0</v>
      </c>
      <c r="Q20" s="424">
        <f t="shared" si="12"/>
        <v>781.35</v>
      </c>
      <c r="R20" s="424">
        <f t="shared" si="12"/>
        <v>781.35</v>
      </c>
      <c r="S20" s="424">
        <f t="shared" ref="S20" si="13">SUM(S21:S28)</f>
        <v>781.35</v>
      </c>
      <c r="T20" s="283"/>
      <c r="U20" s="283">
        <f t="shared" si="9"/>
        <v>0</v>
      </c>
      <c r="V20" s="283"/>
      <c r="W20" s="284"/>
      <c r="X20" s="52">
        <f t="shared" si="6"/>
        <v>0</v>
      </c>
      <c r="Y20" s="421"/>
    </row>
    <row r="21" spans="1:26">
      <c r="A21" s="425" t="s">
        <v>170</v>
      </c>
      <c r="B21" s="429" t="s">
        <v>76</v>
      </c>
      <c r="C21" s="427" t="s">
        <v>167</v>
      </c>
      <c r="D21" s="427" t="s">
        <v>76</v>
      </c>
      <c r="E21" s="429"/>
      <c r="F21" s="429"/>
      <c r="G21" s="422" t="s">
        <v>77</v>
      </c>
      <c r="H21" s="423"/>
      <c r="I21" s="22">
        <v>442.02184784999997</v>
      </c>
      <c r="J21" s="22">
        <v>401.83804349999997</v>
      </c>
      <c r="K21" s="421"/>
      <c r="L21" s="421"/>
      <c r="M21" s="22">
        <v>442.02184784999997</v>
      </c>
      <c r="N21" s="22">
        <v>401.83804349999997</v>
      </c>
      <c r="O21" s="421"/>
      <c r="P21" s="421"/>
      <c r="Q21" s="22">
        <v>89.3</v>
      </c>
      <c r="R21" s="22">
        <v>89.3</v>
      </c>
      <c r="S21" s="22">
        <f>R21</f>
        <v>89.3</v>
      </c>
      <c r="T21" s="283"/>
      <c r="U21" s="283">
        <f t="shared" si="9"/>
        <v>0</v>
      </c>
      <c r="V21" s="283"/>
      <c r="W21" s="284"/>
      <c r="X21" s="52">
        <f t="shared" si="6"/>
        <v>0</v>
      </c>
      <c r="Y21" s="421"/>
    </row>
    <row r="22" spans="1:26">
      <c r="A22" s="425" t="s">
        <v>171</v>
      </c>
      <c r="B22" s="429" t="s">
        <v>22</v>
      </c>
      <c r="C22" s="427" t="s">
        <v>142</v>
      </c>
      <c r="D22" s="427" t="s">
        <v>22</v>
      </c>
      <c r="E22" s="429"/>
      <c r="F22" s="429"/>
      <c r="G22" s="422" t="s">
        <v>77</v>
      </c>
      <c r="H22" s="423"/>
      <c r="I22" s="22">
        <v>171.897385275</v>
      </c>
      <c r="J22" s="22">
        <v>156.27035025000001</v>
      </c>
      <c r="K22" s="421"/>
      <c r="L22" s="421"/>
      <c r="M22" s="22">
        <v>171.897385275</v>
      </c>
      <c r="N22" s="22">
        <v>156.27035025000001</v>
      </c>
      <c r="O22" s="421"/>
      <c r="P22" s="421"/>
      <c r="Q22" s="22">
        <v>66.97</v>
      </c>
      <c r="R22" s="22">
        <v>66.97</v>
      </c>
      <c r="S22" s="22">
        <v>66.97</v>
      </c>
      <c r="T22" s="283"/>
      <c r="U22" s="283">
        <f t="shared" si="9"/>
        <v>0</v>
      </c>
      <c r="V22" s="283"/>
      <c r="W22" s="284"/>
      <c r="X22" s="52">
        <f t="shared" si="6"/>
        <v>0</v>
      </c>
      <c r="Y22" s="421"/>
    </row>
    <row r="23" spans="1:26">
      <c r="A23" s="425" t="s">
        <v>172</v>
      </c>
      <c r="B23" s="429" t="s">
        <v>173</v>
      </c>
      <c r="C23" s="427" t="s">
        <v>164</v>
      </c>
      <c r="D23" s="427" t="s">
        <v>173</v>
      </c>
      <c r="E23" s="429"/>
      <c r="F23" s="429"/>
      <c r="G23" s="422" t="s">
        <v>77</v>
      </c>
      <c r="H23" s="423"/>
      <c r="I23" s="22">
        <v>73.670307975</v>
      </c>
      <c r="J23" s="22">
        <v>66.973007249999995</v>
      </c>
      <c r="K23" s="421"/>
      <c r="L23" s="421"/>
      <c r="M23" s="22">
        <v>73.670307975</v>
      </c>
      <c r="N23" s="22">
        <v>66.973007249999995</v>
      </c>
      <c r="O23" s="421"/>
      <c r="P23" s="421"/>
      <c r="Q23" s="22">
        <v>22.32</v>
      </c>
      <c r="R23" s="22">
        <v>22.32</v>
      </c>
      <c r="S23" s="22">
        <v>22.32</v>
      </c>
      <c r="T23" s="283"/>
      <c r="U23" s="283">
        <f t="shared" si="9"/>
        <v>0</v>
      </c>
      <c r="V23" s="283"/>
      <c r="W23" s="284"/>
      <c r="X23" s="52">
        <f t="shared" si="6"/>
        <v>0</v>
      </c>
      <c r="Y23" s="421"/>
    </row>
    <row r="24" spans="1:26">
      <c r="A24" s="425" t="s">
        <v>174</v>
      </c>
      <c r="B24" s="429" t="s">
        <v>17</v>
      </c>
      <c r="C24" s="427" t="s">
        <v>175</v>
      </c>
      <c r="D24" s="427" t="s">
        <v>17</v>
      </c>
      <c r="E24" s="429"/>
      <c r="F24" s="429"/>
      <c r="G24" s="422" t="s">
        <v>77</v>
      </c>
      <c r="H24" s="423"/>
      <c r="I24" s="22">
        <v>761.25984907499992</v>
      </c>
      <c r="J24" s="22">
        <v>692.05440824999994</v>
      </c>
      <c r="K24" s="421"/>
      <c r="L24" s="421"/>
      <c r="M24" s="22">
        <v>761.25984907499992</v>
      </c>
      <c r="N24" s="22">
        <v>692.05440824999994</v>
      </c>
      <c r="O24" s="421"/>
      <c r="P24" s="421"/>
      <c r="Q24" s="22">
        <v>133.94999999999999</v>
      </c>
      <c r="R24" s="22">
        <v>133.94999999999999</v>
      </c>
      <c r="S24" s="22">
        <v>133.94999999999999</v>
      </c>
      <c r="T24" s="283"/>
      <c r="U24" s="283">
        <f t="shared" si="9"/>
        <v>0</v>
      </c>
      <c r="V24" s="283"/>
      <c r="W24" s="284"/>
      <c r="X24" s="52">
        <f t="shared" si="6"/>
        <v>0</v>
      </c>
      <c r="Y24" s="421"/>
    </row>
    <row r="25" spans="1:26">
      <c r="A25" s="425" t="s">
        <v>176</v>
      </c>
      <c r="B25" s="429" t="s">
        <v>99</v>
      </c>
      <c r="C25" s="427" t="s">
        <v>177</v>
      </c>
      <c r="D25" s="427" t="s">
        <v>99</v>
      </c>
      <c r="E25" s="429"/>
      <c r="F25" s="429"/>
      <c r="G25" s="422" t="s">
        <v>77</v>
      </c>
      <c r="H25" s="423"/>
      <c r="I25" s="22">
        <v>270.124462575</v>
      </c>
      <c r="J25" s="22">
        <v>245.56769324999999</v>
      </c>
      <c r="K25" s="421"/>
      <c r="L25" s="421"/>
      <c r="M25" s="22">
        <v>270.124462575</v>
      </c>
      <c r="N25" s="22">
        <v>245.56769324999999</v>
      </c>
      <c r="O25" s="421"/>
      <c r="P25" s="421"/>
      <c r="Q25" s="22">
        <v>89.3</v>
      </c>
      <c r="R25" s="22">
        <v>89.3</v>
      </c>
      <c r="S25" s="22">
        <v>89.3</v>
      </c>
      <c r="T25" s="283"/>
      <c r="U25" s="283">
        <f t="shared" si="9"/>
        <v>0</v>
      </c>
      <c r="V25" s="283"/>
      <c r="W25" s="284"/>
      <c r="X25" s="52">
        <f t="shared" si="6"/>
        <v>0</v>
      </c>
      <c r="Y25" s="421"/>
    </row>
    <row r="26" spans="1:26">
      <c r="A26" s="425" t="s">
        <v>178</v>
      </c>
      <c r="B26" s="429" t="s">
        <v>100</v>
      </c>
      <c r="C26" s="427" t="s">
        <v>179</v>
      </c>
      <c r="D26" s="427" t="s">
        <v>100</v>
      </c>
      <c r="E26" s="429"/>
      <c r="F26" s="429"/>
      <c r="G26" s="422" t="s">
        <v>77</v>
      </c>
      <c r="H26" s="423"/>
      <c r="I26" s="22">
        <v>663.03277177500001</v>
      </c>
      <c r="J26" s="22">
        <v>602.75706524999998</v>
      </c>
      <c r="K26" s="421"/>
      <c r="L26" s="421"/>
      <c r="M26" s="22">
        <v>663.03277177500001</v>
      </c>
      <c r="N26" s="22">
        <v>602.75706524999998</v>
      </c>
      <c r="O26" s="421"/>
      <c r="P26" s="421"/>
      <c r="Q26" s="22">
        <v>133.94999999999999</v>
      </c>
      <c r="R26" s="22">
        <v>133.94999999999999</v>
      </c>
      <c r="S26" s="22">
        <v>133.94999999999999</v>
      </c>
      <c r="T26" s="283"/>
      <c r="U26" s="283">
        <f t="shared" si="9"/>
        <v>0</v>
      </c>
      <c r="V26" s="283"/>
      <c r="W26" s="284"/>
      <c r="X26" s="52">
        <f t="shared" si="6"/>
        <v>0</v>
      </c>
      <c r="Y26" s="421"/>
    </row>
    <row r="27" spans="1:26">
      <c r="A27" s="425" t="s">
        <v>180</v>
      </c>
      <c r="B27" s="429" t="s">
        <v>181</v>
      </c>
      <c r="C27" s="427" t="s">
        <v>182</v>
      </c>
      <c r="D27" s="427" t="s">
        <v>181</v>
      </c>
      <c r="E27" s="429"/>
      <c r="F27" s="429"/>
      <c r="G27" s="422" t="s">
        <v>77</v>
      </c>
      <c r="H27" s="423"/>
      <c r="I27" s="22">
        <v>196.45415459999998</v>
      </c>
      <c r="J27" s="22">
        <v>178.594686</v>
      </c>
      <c r="K27" s="421"/>
      <c r="L27" s="421"/>
      <c r="M27" s="22">
        <v>196.45415459999998</v>
      </c>
      <c r="N27" s="22">
        <v>178.594686</v>
      </c>
      <c r="O27" s="421"/>
      <c r="P27" s="421"/>
      <c r="Q27" s="22">
        <v>66.97</v>
      </c>
      <c r="R27" s="22">
        <v>66.97</v>
      </c>
      <c r="S27" s="22">
        <v>66.97</v>
      </c>
      <c r="T27" s="283"/>
      <c r="U27" s="283">
        <f t="shared" si="9"/>
        <v>0</v>
      </c>
      <c r="V27" s="283"/>
      <c r="W27" s="284"/>
      <c r="X27" s="52">
        <f t="shared" si="6"/>
        <v>0</v>
      </c>
      <c r="Y27" s="421"/>
    </row>
    <row r="28" spans="1:26">
      <c r="A28" s="425" t="s">
        <v>183</v>
      </c>
      <c r="B28" s="429" t="s">
        <v>20</v>
      </c>
      <c r="C28" s="427" t="s">
        <v>184</v>
      </c>
      <c r="D28" s="427" t="s">
        <v>20</v>
      </c>
      <c r="E28" s="429"/>
      <c r="F28" s="429"/>
      <c r="G28" s="422" t="s">
        <v>77</v>
      </c>
      <c r="H28" s="423"/>
      <c r="I28" s="22">
        <v>368.35153987500001</v>
      </c>
      <c r="J28" s="22">
        <v>334.86503625</v>
      </c>
      <c r="K28" s="421"/>
      <c r="L28" s="421"/>
      <c r="M28" s="22">
        <v>368.35153987500001</v>
      </c>
      <c r="N28" s="22">
        <v>334.86503625</v>
      </c>
      <c r="O28" s="421"/>
      <c r="P28" s="421"/>
      <c r="Q28" s="22">
        <v>178.59</v>
      </c>
      <c r="R28" s="22">
        <v>178.59</v>
      </c>
      <c r="S28" s="22">
        <v>178.59</v>
      </c>
      <c r="T28" s="283"/>
      <c r="U28" s="283">
        <f t="shared" si="9"/>
        <v>0</v>
      </c>
      <c r="V28" s="283"/>
      <c r="W28" s="284"/>
      <c r="X28" s="52">
        <f t="shared" si="6"/>
        <v>0</v>
      </c>
      <c r="Y28" s="421"/>
    </row>
    <row r="29" spans="1:26">
      <c r="A29" s="418" t="s">
        <v>83</v>
      </c>
      <c r="B29" s="411" t="s">
        <v>84</v>
      </c>
      <c r="C29" s="412"/>
      <c r="D29" s="410"/>
      <c r="E29" s="410"/>
      <c r="F29" s="410"/>
      <c r="G29" s="412"/>
      <c r="H29" s="413"/>
      <c r="I29" s="288">
        <f>I30+I33</f>
        <v>13096.94364</v>
      </c>
      <c r="J29" s="288">
        <f t="shared" ref="J29:Q29" si="14">J30+J33</f>
        <v>11906.312399999999</v>
      </c>
      <c r="K29" s="288">
        <f t="shared" si="14"/>
        <v>6548.4718199999998</v>
      </c>
      <c r="L29" s="288">
        <f t="shared" si="14"/>
        <v>3906</v>
      </c>
      <c r="M29" s="288">
        <f t="shared" si="14"/>
        <v>13096.94364</v>
      </c>
      <c r="N29" s="288">
        <f t="shared" si="14"/>
        <v>11906.312399999999</v>
      </c>
      <c r="O29" s="288">
        <f t="shared" si="14"/>
        <v>0</v>
      </c>
      <c r="P29" s="288">
        <f t="shared" si="14"/>
        <v>0</v>
      </c>
      <c r="Q29" s="288">
        <f t="shared" si="14"/>
        <v>4972.3641999999991</v>
      </c>
      <c r="R29" s="286">
        <f>R30+R33</f>
        <v>4706.4361999999992</v>
      </c>
      <c r="S29" s="286">
        <f>S30+S33</f>
        <v>4706.4361999999992</v>
      </c>
      <c r="T29" s="286">
        <f t="shared" ref="T29:W29" si="15">T30+T33</f>
        <v>0</v>
      </c>
      <c r="U29" s="286">
        <f>U30+U33</f>
        <v>2221.0129999999999</v>
      </c>
      <c r="V29" s="286">
        <f>V30+V33</f>
        <v>2221.0129999999999</v>
      </c>
      <c r="W29" s="299">
        <f t="shared" si="15"/>
        <v>0</v>
      </c>
      <c r="X29" s="52">
        <f t="shared" si="6"/>
        <v>47.190972226501238</v>
      </c>
      <c r="Y29" s="410"/>
      <c r="Z29" s="300"/>
    </row>
    <row r="30" spans="1:26">
      <c r="A30" s="410" t="s">
        <v>85</v>
      </c>
      <c r="B30" s="410" t="s">
        <v>161</v>
      </c>
      <c r="C30" s="412"/>
      <c r="D30" s="410"/>
      <c r="E30" s="410"/>
      <c r="F30" s="410"/>
      <c r="G30" s="412"/>
      <c r="H30" s="413"/>
      <c r="I30" s="288">
        <f>I31+I32</f>
        <v>6548.4718199999998</v>
      </c>
      <c r="J30" s="288">
        <f t="shared" ref="J30:Q30" si="16">J31+J32</f>
        <v>5953.1561999999994</v>
      </c>
      <c r="K30" s="288">
        <f t="shared" si="16"/>
        <v>6548.4718199999998</v>
      </c>
      <c r="L30" s="288">
        <f>L31+L32</f>
        <v>3906</v>
      </c>
      <c r="M30" s="288">
        <f t="shared" si="16"/>
        <v>6548.4718199999998</v>
      </c>
      <c r="N30" s="288">
        <f t="shared" si="16"/>
        <v>5953.1561999999994</v>
      </c>
      <c r="O30" s="288">
        <f t="shared" si="16"/>
        <v>0</v>
      </c>
      <c r="P30" s="288">
        <f t="shared" si="16"/>
        <v>0</v>
      </c>
      <c r="Q30" s="288">
        <f t="shared" si="16"/>
        <v>2047.1561999999994</v>
      </c>
      <c r="R30" s="286">
        <f>R31+R32</f>
        <v>2047.1561999999994</v>
      </c>
      <c r="S30" s="286">
        <f>S31+S32</f>
        <v>2047.1561999999994</v>
      </c>
      <c r="T30" s="286">
        <f t="shared" ref="T30:W30" si="17">T31+T32</f>
        <v>0</v>
      </c>
      <c r="U30" s="286">
        <f t="shared" si="17"/>
        <v>2</v>
      </c>
      <c r="V30" s="286">
        <f t="shared" si="17"/>
        <v>2</v>
      </c>
      <c r="W30" s="299">
        <f t="shared" si="17"/>
        <v>0</v>
      </c>
      <c r="X30" s="52">
        <f t="shared" si="6"/>
        <v>9.769650210374764E-2</v>
      </c>
      <c r="Y30" s="410"/>
      <c r="Z30" s="300"/>
    </row>
    <row r="31" spans="1:26" ht="31.5">
      <c r="A31" s="430" t="s">
        <v>185</v>
      </c>
      <c r="B31" s="431" t="s">
        <v>86</v>
      </c>
      <c r="C31" s="432" t="s">
        <v>66</v>
      </c>
      <c r="D31" s="433" t="s">
        <v>133</v>
      </c>
      <c r="E31" s="433">
        <v>7985610</v>
      </c>
      <c r="F31" s="434" t="s">
        <v>163</v>
      </c>
      <c r="G31" s="419" t="s">
        <v>89</v>
      </c>
      <c r="H31" s="435" t="s">
        <v>186</v>
      </c>
      <c r="I31" s="436">
        <v>3274.2359099999999</v>
      </c>
      <c r="J31" s="436">
        <v>2976.5780999999997</v>
      </c>
      <c r="K31" s="436">
        <v>3274.2359099999999</v>
      </c>
      <c r="L31" s="436">
        <v>2000</v>
      </c>
      <c r="M31" s="436">
        <v>3274.2359099999999</v>
      </c>
      <c r="N31" s="436">
        <v>2976.5780999999997</v>
      </c>
      <c r="O31" s="420"/>
      <c r="P31" s="420"/>
      <c r="Q31" s="291">
        <f>R31</f>
        <v>976.57809999999972</v>
      </c>
      <c r="R31" s="289">
        <f>N31-L31</f>
        <v>976.57809999999972</v>
      </c>
      <c r="S31" s="289">
        <f>R31</f>
        <v>976.57809999999972</v>
      </c>
      <c r="T31" s="289"/>
      <c r="U31" s="283">
        <f t="shared" si="9"/>
        <v>2</v>
      </c>
      <c r="V31" s="289">
        <v>2</v>
      </c>
      <c r="W31" s="291"/>
      <c r="X31" s="52">
        <f t="shared" si="6"/>
        <v>0.20479672849514041</v>
      </c>
      <c r="Y31" s="420"/>
      <c r="Z31" s="360"/>
    </row>
    <row r="32" spans="1:26" ht="22.5" customHeight="1">
      <c r="A32" s="430" t="s">
        <v>187</v>
      </c>
      <c r="B32" s="437" t="s">
        <v>88</v>
      </c>
      <c r="C32" s="319"/>
      <c r="D32" s="394" t="s">
        <v>129</v>
      </c>
      <c r="E32" s="433">
        <v>7987877</v>
      </c>
      <c r="F32" s="434" t="s">
        <v>163</v>
      </c>
      <c r="G32" s="419" t="s">
        <v>89</v>
      </c>
      <c r="H32" s="435" t="s">
        <v>188</v>
      </c>
      <c r="I32" s="436">
        <v>3274.2359099999999</v>
      </c>
      <c r="J32" s="436">
        <v>2976.5780999999997</v>
      </c>
      <c r="K32" s="436">
        <v>3274.2359099999999</v>
      </c>
      <c r="L32" s="436">
        <v>1906</v>
      </c>
      <c r="M32" s="436">
        <v>3274.2359099999999</v>
      </c>
      <c r="N32" s="436">
        <v>2976.5780999999997</v>
      </c>
      <c r="O32" s="410"/>
      <c r="P32" s="410"/>
      <c r="Q32" s="291">
        <f>R32</f>
        <v>1070.5780999999997</v>
      </c>
      <c r="R32" s="289">
        <f>N32-L32</f>
        <v>1070.5780999999997</v>
      </c>
      <c r="S32" s="289">
        <f>R32</f>
        <v>1070.5780999999997</v>
      </c>
      <c r="T32" s="286"/>
      <c r="U32" s="283">
        <f t="shared" si="9"/>
        <v>0</v>
      </c>
      <c r="V32" s="286"/>
      <c r="W32" s="287"/>
      <c r="X32" s="52">
        <f t="shared" si="6"/>
        <v>0</v>
      </c>
      <c r="Y32" s="410"/>
      <c r="Z32" s="300"/>
    </row>
    <row r="33" spans="1:26">
      <c r="A33" s="410" t="s">
        <v>87</v>
      </c>
      <c r="B33" s="438" t="s">
        <v>189</v>
      </c>
      <c r="C33" s="412"/>
      <c r="D33" s="410"/>
      <c r="E33" s="410"/>
      <c r="F33" s="410"/>
      <c r="G33" s="412"/>
      <c r="H33" s="413"/>
      <c r="I33" s="288">
        <f>SUM(I34:I35)</f>
        <v>6548.4718199999998</v>
      </c>
      <c r="J33" s="288">
        <f t="shared" ref="J33:R33" si="18">SUM(J34:J35)</f>
        <v>5953.1561999999994</v>
      </c>
      <c r="K33" s="288">
        <f t="shared" si="18"/>
        <v>0</v>
      </c>
      <c r="L33" s="288">
        <f t="shared" si="18"/>
        <v>0</v>
      </c>
      <c r="M33" s="288">
        <f t="shared" si="18"/>
        <v>6548.4718199999998</v>
      </c>
      <c r="N33" s="288">
        <f t="shared" si="18"/>
        <v>5953.1561999999994</v>
      </c>
      <c r="O33" s="288">
        <f t="shared" si="18"/>
        <v>0</v>
      </c>
      <c r="P33" s="288">
        <f t="shared" si="18"/>
        <v>0</v>
      </c>
      <c r="Q33" s="288">
        <f t="shared" si="18"/>
        <v>2925.2079999999996</v>
      </c>
      <c r="R33" s="288">
        <f t="shared" si="18"/>
        <v>2659.2799999999997</v>
      </c>
      <c r="S33" s="288">
        <f t="shared" ref="S33:W33" si="19">SUM(S34:S35)</f>
        <v>2659.2799999999997</v>
      </c>
      <c r="T33" s="288">
        <f t="shared" si="19"/>
        <v>0</v>
      </c>
      <c r="U33" s="286">
        <f>SUM(U34:U35)</f>
        <v>2219.0129999999999</v>
      </c>
      <c r="V33" s="286">
        <f>SUM(V34:V35)</f>
        <v>2219.0129999999999</v>
      </c>
      <c r="W33" s="287">
        <f t="shared" si="19"/>
        <v>0</v>
      </c>
      <c r="X33" s="52">
        <f t="shared" si="6"/>
        <v>83.444127733822697</v>
      </c>
      <c r="Y33" s="410"/>
      <c r="Z33" s="300"/>
    </row>
    <row r="34" spans="1:26" ht="20.25" customHeight="1">
      <c r="A34" s="430" t="s">
        <v>190</v>
      </c>
      <c r="B34" s="431" t="s">
        <v>191</v>
      </c>
      <c r="C34" s="432" t="s">
        <v>66</v>
      </c>
      <c r="D34" s="433" t="s">
        <v>51</v>
      </c>
      <c r="E34" s="433">
        <v>8006209</v>
      </c>
      <c r="F34" s="434" t="s">
        <v>163</v>
      </c>
      <c r="G34" s="419" t="s">
        <v>192</v>
      </c>
      <c r="H34" s="439" t="s">
        <v>193</v>
      </c>
      <c r="I34" s="21">
        <v>3274.2359099999999</v>
      </c>
      <c r="J34" s="21">
        <v>2976.5780999999997</v>
      </c>
      <c r="K34" s="420"/>
      <c r="L34" s="420"/>
      <c r="M34" s="21">
        <v>3274.2359099999999</v>
      </c>
      <c r="N34" s="21">
        <v>2976.5780999999997</v>
      </c>
      <c r="O34" s="420"/>
      <c r="P34" s="420"/>
      <c r="Q34" s="21">
        <f>R34+(R34*10%)</f>
        <v>1563.1</v>
      </c>
      <c r="R34" s="21">
        <v>1421</v>
      </c>
      <c r="S34" s="21">
        <v>1421</v>
      </c>
      <c r="T34" s="289"/>
      <c r="U34" s="283">
        <f t="shared" si="9"/>
        <v>1079.4749999999999</v>
      </c>
      <c r="V34" s="290">
        <v>1079.4749999999999</v>
      </c>
      <c r="W34" s="291"/>
      <c r="X34" s="52">
        <f t="shared" si="6"/>
        <v>75.965869106263185</v>
      </c>
      <c r="Y34" s="420"/>
      <c r="Z34" s="360"/>
    </row>
    <row r="35" spans="1:26" ht="31.5">
      <c r="A35" s="430" t="s">
        <v>194</v>
      </c>
      <c r="B35" s="431" t="s">
        <v>195</v>
      </c>
      <c r="C35" s="319"/>
      <c r="D35" s="433" t="s">
        <v>51</v>
      </c>
      <c r="E35" s="433">
        <v>8006208</v>
      </c>
      <c r="F35" s="434" t="s">
        <v>163</v>
      </c>
      <c r="G35" s="419" t="s">
        <v>196</v>
      </c>
      <c r="H35" s="439" t="s">
        <v>197</v>
      </c>
      <c r="I35" s="21">
        <v>3274.2359099999999</v>
      </c>
      <c r="J35" s="21">
        <v>2976.5780999999997</v>
      </c>
      <c r="K35" s="420"/>
      <c r="L35" s="420"/>
      <c r="M35" s="21">
        <v>3274.2359099999999</v>
      </c>
      <c r="N35" s="21">
        <v>2976.5780999999997</v>
      </c>
      <c r="O35" s="420"/>
      <c r="P35" s="420"/>
      <c r="Q35" s="21">
        <f>R35+(R35*10%)</f>
        <v>1362.1079999999999</v>
      </c>
      <c r="R35" s="22">
        <f>1421.44-183.5+0.34</f>
        <v>1238.28</v>
      </c>
      <c r="S35" s="22">
        <f>1421.44-183.5+0.34</f>
        <v>1238.28</v>
      </c>
      <c r="T35" s="289"/>
      <c r="U35" s="283">
        <f t="shared" si="9"/>
        <v>1139.538</v>
      </c>
      <c r="V35" s="290">
        <v>1139.538</v>
      </c>
      <c r="W35" s="291"/>
      <c r="X35" s="52">
        <f t="shared" si="6"/>
        <v>92.025874600251967</v>
      </c>
      <c r="Y35" s="420"/>
      <c r="Z35" s="360"/>
    </row>
    <row r="36" spans="1:26">
      <c r="A36" s="418">
        <v>2</v>
      </c>
      <c r="B36" s="440" t="s">
        <v>198</v>
      </c>
      <c r="C36" s="412"/>
      <c r="D36" s="410"/>
      <c r="E36" s="415"/>
      <c r="F36" s="415"/>
      <c r="G36" s="416"/>
      <c r="H36" s="417"/>
      <c r="I36" s="294">
        <f>SUM(I37:I38)</f>
        <v>59310.9</v>
      </c>
      <c r="J36" s="294">
        <f t="shared" ref="J36:Q36" si="20">SUM(J37:J38)</f>
        <v>53919</v>
      </c>
      <c r="K36" s="294">
        <f t="shared" si="20"/>
        <v>59310.9</v>
      </c>
      <c r="L36" s="294">
        <f t="shared" si="20"/>
        <v>10167</v>
      </c>
      <c r="M36" s="294">
        <f t="shared" si="20"/>
        <v>59310.9</v>
      </c>
      <c r="N36" s="294">
        <f t="shared" si="20"/>
        <v>53919</v>
      </c>
      <c r="O36" s="294">
        <f t="shared" si="20"/>
        <v>0</v>
      </c>
      <c r="P36" s="294">
        <f t="shared" si="20"/>
        <v>0</v>
      </c>
      <c r="Q36" s="294">
        <f t="shared" si="20"/>
        <v>16848</v>
      </c>
      <c r="R36" s="294">
        <f>SUM(R37:R38)</f>
        <v>16848</v>
      </c>
      <c r="S36" s="294">
        <f>SUM(S37:S38)</f>
        <v>16848</v>
      </c>
      <c r="T36" s="51">
        <f t="shared" ref="T36:W36" si="21">SUM(T37:T38)</f>
        <v>0</v>
      </c>
      <c r="U36" s="51">
        <f>SUM(U37:U38)</f>
        <v>8394.5220000000008</v>
      </c>
      <c r="V36" s="51">
        <f t="shared" si="21"/>
        <v>8394.5220000000008</v>
      </c>
      <c r="W36" s="285">
        <f t="shared" si="21"/>
        <v>0</v>
      </c>
      <c r="X36" s="52">
        <f t="shared" si="6"/>
        <v>49.825035612535615</v>
      </c>
      <c r="Y36" s="415"/>
      <c r="Z36" s="50"/>
    </row>
    <row r="37" spans="1:26" ht="36.75" customHeight="1">
      <c r="A37" s="425" t="s">
        <v>90</v>
      </c>
      <c r="B37" s="441" t="s">
        <v>92</v>
      </c>
      <c r="C37" s="432" t="s">
        <v>66</v>
      </c>
      <c r="D37" s="442" t="s">
        <v>62</v>
      </c>
      <c r="E37" s="442">
        <v>7998160</v>
      </c>
      <c r="F37" s="434" t="s">
        <v>199</v>
      </c>
      <c r="G37" s="443" t="s">
        <v>93</v>
      </c>
      <c r="H37" s="435" t="s">
        <v>200</v>
      </c>
      <c r="I37" s="21">
        <v>37310.9</v>
      </c>
      <c r="J37" s="21">
        <v>33919</v>
      </c>
      <c r="K37" s="21">
        <v>37310.9</v>
      </c>
      <c r="L37" s="21">
        <v>6567</v>
      </c>
      <c r="M37" s="21">
        <v>37310.9</v>
      </c>
      <c r="N37" s="21">
        <v>33919</v>
      </c>
      <c r="O37" s="421"/>
      <c r="P37" s="421"/>
      <c r="Q37" s="444">
        <f>R37</f>
        <v>10348</v>
      </c>
      <c r="R37" s="21">
        <v>10348</v>
      </c>
      <c r="S37" s="21">
        <v>10348</v>
      </c>
      <c r="T37" s="283"/>
      <c r="U37" s="283">
        <f t="shared" si="9"/>
        <v>7813.4059999999999</v>
      </c>
      <c r="V37" s="52">
        <f>7000+165.585+647.821</f>
        <v>7813.4059999999999</v>
      </c>
      <c r="W37" s="292">
        <v>0</v>
      </c>
      <c r="X37" s="52">
        <f>U37/R37*100</f>
        <v>75.506436026285272</v>
      </c>
      <c r="Y37" s="445"/>
    </row>
    <row r="38" spans="1:26" ht="31.5">
      <c r="A38" s="425" t="s">
        <v>91</v>
      </c>
      <c r="B38" s="426" t="s">
        <v>95</v>
      </c>
      <c r="C38" s="319"/>
      <c r="D38" s="433" t="s">
        <v>76</v>
      </c>
      <c r="E38" s="433">
        <v>7989024</v>
      </c>
      <c r="F38" s="434" t="s">
        <v>199</v>
      </c>
      <c r="G38" s="443" t="s">
        <v>93</v>
      </c>
      <c r="H38" s="446" t="s">
        <v>201</v>
      </c>
      <c r="I38" s="21">
        <v>22000</v>
      </c>
      <c r="J38" s="21">
        <v>20000</v>
      </c>
      <c r="K38" s="21">
        <v>22000</v>
      </c>
      <c r="L38" s="21">
        <v>3600</v>
      </c>
      <c r="M38" s="21">
        <v>22000</v>
      </c>
      <c r="N38" s="21">
        <v>20000</v>
      </c>
      <c r="O38" s="421"/>
      <c r="P38" s="421"/>
      <c r="Q38" s="444">
        <f>R38</f>
        <v>6500</v>
      </c>
      <c r="R38" s="21">
        <v>6500</v>
      </c>
      <c r="S38" s="21">
        <v>6500</v>
      </c>
      <c r="T38" s="283"/>
      <c r="U38" s="283">
        <f t="shared" si="9"/>
        <v>581.11599999999999</v>
      </c>
      <c r="V38" s="283">
        <v>581.11599999999999</v>
      </c>
      <c r="W38" s="292"/>
      <c r="X38" s="52">
        <f>U38/R38*100</f>
        <v>8.9402461538461537</v>
      </c>
      <c r="Y38" s="445"/>
    </row>
    <row r="39" spans="1:26" s="50" customFormat="1">
      <c r="A39" s="418">
        <v>3</v>
      </c>
      <c r="B39" s="428" t="s">
        <v>32</v>
      </c>
      <c r="C39" s="412"/>
      <c r="D39" s="410"/>
      <c r="E39" s="415"/>
      <c r="F39" s="415"/>
      <c r="G39" s="416"/>
      <c r="H39" s="417"/>
      <c r="I39" s="294">
        <f>I40+I52</f>
        <v>84723.257368507999</v>
      </c>
      <c r="J39" s="294">
        <f t="shared" ref="J39:R39" si="22">J40+J52</f>
        <v>77021.143062279996</v>
      </c>
      <c r="K39" s="294">
        <f t="shared" si="22"/>
        <v>60500</v>
      </c>
      <c r="L39" s="294">
        <f t="shared" si="22"/>
        <v>25314</v>
      </c>
      <c r="M39" s="294">
        <f t="shared" si="22"/>
        <v>84723.257368507999</v>
      </c>
      <c r="N39" s="294">
        <f t="shared" si="22"/>
        <v>77021.143062279996</v>
      </c>
      <c r="O39" s="294">
        <f t="shared" si="22"/>
        <v>0</v>
      </c>
      <c r="P39" s="294">
        <f t="shared" si="22"/>
        <v>0</v>
      </c>
      <c r="Q39" s="294">
        <f t="shared" si="22"/>
        <v>35773.399999999994</v>
      </c>
      <c r="R39" s="51">
        <f t="shared" si="22"/>
        <v>35219.999999999993</v>
      </c>
      <c r="S39" s="51">
        <f>S40+S52</f>
        <v>35219.999999999993</v>
      </c>
      <c r="T39" s="51">
        <f t="shared" ref="T39:W39" si="23">T40+T52</f>
        <v>0</v>
      </c>
      <c r="U39" s="51">
        <f>U40+U52</f>
        <v>16273.380620999998</v>
      </c>
      <c r="V39" s="51">
        <f t="shared" si="23"/>
        <v>16273.380620999998</v>
      </c>
      <c r="W39" s="293">
        <f t="shared" si="23"/>
        <v>0</v>
      </c>
      <c r="X39" s="52">
        <f>U39/R39*100</f>
        <v>46.204942137989782</v>
      </c>
      <c r="Y39" s="415"/>
    </row>
    <row r="40" spans="1:26">
      <c r="A40" s="447" t="s">
        <v>96</v>
      </c>
      <c r="B40" s="415" t="s">
        <v>161</v>
      </c>
      <c r="C40" s="412"/>
      <c r="D40" s="410"/>
      <c r="E40" s="415"/>
      <c r="F40" s="415"/>
      <c r="G40" s="416"/>
      <c r="H40" s="417"/>
      <c r="I40" s="294">
        <f>SUM(I41:I51)</f>
        <v>60500</v>
      </c>
      <c r="J40" s="294">
        <f t="shared" ref="J40:Q40" si="24">SUM(J41:J51)</f>
        <v>55000</v>
      </c>
      <c r="K40" s="294">
        <f t="shared" si="24"/>
        <v>60500</v>
      </c>
      <c r="L40" s="294">
        <f t="shared" si="24"/>
        <v>25314</v>
      </c>
      <c r="M40" s="294">
        <f t="shared" si="24"/>
        <v>60500</v>
      </c>
      <c r="N40" s="294">
        <f t="shared" si="24"/>
        <v>55000</v>
      </c>
      <c r="O40" s="294">
        <f t="shared" si="24"/>
        <v>0</v>
      </c>
      <c r="P40" s="294">
        <f t="shared" si="24"/>
        <v>0</v>
      </c>
      <c r="Q40" s="294">
        <f t="shared" si="24"/>
        <v>29685.999999999993</v>
      </c>
      <c r="R40" s="51">
        <f>SUM(R41:R51)</f>
        <v>29685.999999999993</v>
      </c>
      <c r="S40" s="51">
        <f>SUM(S41:S51)</f>
        <v>29685.999999999993</v>
      </c>
      <c r="T40" s="51">
        <f t="shared" ref="T40:W40" si="25">SUM(T41:T51)</f>
        <v>0</v>
      </c>
      <c r="U40" s="51">
        <f>SUM(U41:U51)</f>
        <v>14505.187620999999</v>
      </c>
      <c r="V40" s="51">
        <f t="shared" si="25"/>
        <v>14505.187620999999</v>
      </c>
      <c r="W40" s="293">
        <f t="shared" si="25"/>
        <v>0</v>
      </c>
      <c r="X40" s="51"/>
      <c r="Y40" s="415"/>
      <c r="Z40" s="50"/>
    </row>
    <row r="41" spans="1:26" ht="31.5">
      <c r="A41" s="430" t="s">
        <v>202</v>
      </c>
      <c r="B41" s="441" t="s">
        <v>203</v>
      </c>
      <c r="C41" s="443" t="s">
        <v>204</v>
      </c>
      <c r="D41" s="433" t="s">
        <v>41</v>
      </c>
      <c r="E41" s="434">
        <v>7986338</v>
      </c>
      <c r="F41" s="434" t="s">
        <v>205</v>
      </c>
      <c r="G41" s="422" t="s">
        <v>89</v>
      </c>
      <c r="H41" s="448" t="s">
        <v>206</v>
      </c>
      <c r="I41" s="21">
        <v>5500</v>
      </c>
      <c r="J41" s="21">
        <v>5000</v>
      </c>
      <c r="K41" s="21">
        <v>5500</v>
      </c>
      <c r="L41" s="22">
        <v>2215.4</v>
      </c>
      <c r="M41" s="21">
        <v>5500</v>
      </c>
      <c r="N41" s="21">
        <v>5000</v>
      </c>
      <c r="O41" s="421"/>
      <c r="P41" s="421"/>
      <c r="Q41" s="449">
        <f>R41</f>
        <v>2784.6</v>
      </c>
      <c r="R41" s="449">
        <f>N41-L41</f>
        <v>2784.6</v>
      </c>
      <c r="S41" s="449">
        <f>R41</f>
        <v>2784.6</v>
      </c>
      <c r="T41" s="283"/>
      <c r="U41" s="283">
        <f t="shared" si="9"/>
        <v>1158.8340000000001</v>
      </c>
      <c r="V41" s="283">
        <v>1158.8340000000001</v>
      </c>
      <c r="W41" s="284"/>
      <c r="X41" s="52">
        <f>U41/R41*100</f>
        <v>41.615815556992032</v>
      </c>
      <c r="Y41" s="421"/>
    </row>
    <row r="42" spans="1:26" ht="31.5">
      <c r="A42" s="430" t="s">
        <v>207</v>
      </c>
      <c r="B42" s="441" t="s">
        <v>208</v>
      </c>
      <c r="C42" s="443" t="s">
        <v>209</v>
      </c>
      <c r="D42" s="433" t="s">
        <v>62</v>
      </c>
      <c r="E42" s="426">
        <v>7986345</v>
      </c>
      <c r="F42" s="434" t="s">
        <v>205</v>
      </c>
      <c r="G42" s="419" t="s">
        <v>89</v>
      </c>
      <c r="H42" s="439" t="s">
        <v>210</v>
      </c>
      <c r="I42" s="21">
        <v>5500</v>
      </c>
      <c r="J42" s="21">
        <v>5000</v>
      </c>
      <c r="K42" s="21">
        <v>5500</v>
      </c>
      <c r="L42" s="22">
        <v>2190</v>
      </c>
      <c r="M42" s="21">
        <v>5500</v>
      </c>
      <c r="N42" s="21">
        <v>5000</v>
      </c>
      <c r="O42" s="421"/>
      <c r="P42" s="421"/>
      <c r="Q42" s="449">
        <f t="shared" ref="Q42:Q51" si="26">R42</f>
        <v>2810</v>
      </c>
      <c r="R42" s="449">
        <f t="shared" ref="R42:R51" si="27">N42-L42</f>
        <v>2810</v>
      </c>
      <c r="S42" s="449">
        <f t="shared" ref="S42:S51" si="28">R42</f>
        <v>2810</v>
      </c>
      <c r="T42" s="283"/>
      <c r="U42" s="283">
        <f t="shared" si="9"/>
        <v>0</v>
      </c>
      <c r="V42" s="51"/>
      <c r="W42" s="284"/>
      <c r="X42" s="52">
        <f t="shared" ref="X42:X53" si="29">U42/R42*100</f>
        <v>0</v>
      </c>
      <c r="Y42" s="421"/>
    </row>
    <row r="43" spans="1:26" ht="31.5">
      <c r="A43" s="430" t="s">
        <v>211</v>
      </c>
      <c r="B43" s="441" t="s">
        <v>212</v>
      </c>
      <c r="C43" s="450" t="s">
        <v>213</v>
      </c>
      <c r="D43" s="425" t="s">
        <v>43</v>
      </c>
      <c r="E43" s="441">
        <v>7985612</v>
      </c>
      <c r="F43" s="434" t="s">
        <v>205</v>
      </c>
      <c r="G43" s="419" t="s">
        <v>89</v>
      </c>
      <c r="H43" s="439" t="s">
        <v>214</v>
      </c>
      <c r="I43" s="21">
        <v>5500</v>
      </c>
      <c r="J43" s="21">
        <v>5000</v>
      </c>
      <c r="K43" s="21">
        <v>5500</v>
      </c>
      <c r="L43" s="22">
        <v>2289.0500000000002</v>
      </c>
      <c r="M43" s="21">
        <v>5500</v>
      </c>
      <c r="N43" s="21">
        <v>5000</v>
      </c>
      <c r="O43" s="415"/>
      <c r="P43" s="415"/>
      <c r="Q43" s="449">
        <f t="shared" si="26"/>
        <v>2710.95</v>
      </c>
      <c r="R43" s="449">
        <f t="shared" si="27"/>
        <v>2710.95</v>
      </c>
      <c r="S43" s="449">
        <f t="shared" si="28"/>
        <v>2710.95</v>
      </c>
      <c r="T43" s="51"/>
      <c r="U43" s="283">
        <f t="shared" si="9"/>
        <v>0</v>
      </c>
      <c r="V43" s="51"/>
      <c r="W43" s="285"/>
      <c r="X43" s="52">
        <f t="shared" si="29"/>
        <v>0</v>
      </c>
      <c r="Y43" s="415"/>
      <c r="Z43" s="50"/>
    </row>
    <row r="44" spans="1:26" ht="31.5">
      <c r="A44" s="430" t="s">
        <v>215</v>
      </c>
      <c r="B44" s="441" t="s">
        <v>216</v>
      </c>
      <c r="C44" s="450" t="s">
        <v>217</v>
      </c>
      <c r="D44" s="425" t="s">
        <v>51</v>
      </c>
      <c r="E44" s="441">
        <v>7985611</v>
      </c>
      <c r="F44" s="434" t="s">
        <v>205</v>
      </c>
      <c r="G44" s="419" t="s">
        <v>89</v>
      </c>
      <c r="H44" s="439" t="s">
        <v>218</v>
      </c>
      <c r="I44" s="21">
        <v>5500</v>
      </c>
      <c r="J44" s="21">
        <v>5000</v>
      </c>
      <c r="K44" s="21">
        <v>5500</v>
      </c>
      <c r="L44" s="22">
        <v>2286.12</v>
      </c>
      <c r="M44" s="21">
        <v>5500</v>
      </c>
      <c r="N44" s="21">
        <v>5000</v>
      </c>
      <c r="O44" s="421"/>
      <c r="P44" s="421"/>
      <c r="Q44" s="449">
        <f t="shared" si="26"/>
        <v>2713.88</v>
      </c>
      <c r="R44" s="449">
        <f t="shared" si="27"/>
        <v>2713.88</v>
      </c>
      <c r="S44" s="449">
        <f t="shared" si="28"/>
        <v>2713.88</v>
      </c>
      <c r="T44" s="283"/>
      <c r="U44" s="283">
        <f t="shared" si="9"/>
        <v>0</v>
      </c>
      <c r="V44" s="51"/>
      <c r="W44" s="284"/>
      <c r="X44" s="52">
        <f t="shared" si="29"/>
        <v>0</v>
      </c>
      <c r="Y44" s="421"/>
    </row>
    <row r="45" spans="1:26" ht="31.5">
      <c r="A45" s="430" t="s">
        <v>219</v>
      </c>
      <c r="B45" s="441" t="s">
        <v>220</v>
      </c>
      <c r="C45" s="450" t="s">
        <v>221</v>
      </c>
      <c r="D45" s="425" t="s">
        <v>50</v>
      </c>
      <c r="E45" s="441">
        <v>7983751</v>
      </c>
      <c r="F45" s="434" t="s">
        <v>205</v>
      </c>
      <c r="G45" s="419" t="s">
        <v>89</v>
      </c>
      <c r="H45" s="439" t="s">
        <v>222</v>
      </c>
      <c r="I45" s="21">
        <v>5500</v>
      </c>
      <c r="J45" s="21">
        <v>5000</v>
      </c>
      <c r="K45" s="21">
        <v>5500</v>
      </c>
      <c r="L45" s="22">
        <v>2400.64</v>
      </c>
      <c r="M45" s="21">
        <v>5500</v>
      </c>
      <c r="N45" s="21">
        <v>5000</v>
      </c>
      <c r="O45" s="415"/>
      <c r="P45" s="415"/>
      <c r="Q45" s="449">
        <f t="shared" si="26"/>
        <v>2599.36</v>
      </c>
      <c r="R45" s="449">
        <f t="shared" si="27"/>
        <v>2599.36</v>
      </c>
      <c r="S45" s="449">
        <f t="shared" si="28"/>
        <v>2599.36</v>
      </c>
      <c r="T45" s="51"/>
      <c r="U45" s="283">
        <f t="shared" si="9"/>
        <v>2488.5</v>
      </c>
      <c r="V45" s="283">
        <v>2488.5</v>
      </c>
      <c r="W45" s="285"/>
      <c r="X45" s="52">
        <f t="shared" si="29"/>
        <v>95.735104025606304</v>
      </c>
      <c r="Y45" s="415"/>
      <c r="Z45" s="50"/>
    </row>
    <row r="46" spans="1:26" ht="31.5">
      <c r="A46" s="430" t="s">
        <v>223</v>
      </c>
      <c r="B46" s="441" t="s">
        <v>224</v>
      </c>
      <c r="C46" s="450" t="s">
        <v>225</v>
      </c>
      <c r="D46" s="425" t="s">
        <v>44</v>
      </c>
      <c r="E46" s="441">
        <v>7983753</v>
      </c>
      <c r="F46" s="434" t="s">
        <v>205</v>
      </c>
      <c r="G46" s="419" t="s">
        <v>89</v>
      </c>
      <c r="H46" s="439" t="s">
        <v>226</v>
      </c>
      <c r="I46" s="21">
        <v>5500</v>
      </c>
      <c r="J46" s="21">
        <v>5000</v>
      </c>
      <c r="K46" s="21">
        <v>5500</v>
      </c>
      <c r="L46" s="22">
        <v>2428.04</v>
      </c>
      <c r="M46" s="21">
        <v>5500</v>
      </c>
      <c r="N46" s="21">
        <v>5000</v>
      </c>
      <c r="O46" s="415"/>
      <c r="P46" s="415"/>
      <c r="Q46" s="449">
        <f t="shared" si="26"/>
        <v>2571.96</v>
      </c>
      <c r="R46" s="449">
        <f t="shared" si="27"/>
        <v>2571.96</v>
      </c>
      <c r="S46" s="449">
        <f t="shared" si="28"/>
        <v>2571.96</v>
      </c>
      <c r="T46" s="51"/>
      <c r="U46" s="283">
        <f t="shared" si="9"/>
        <v>2399.745621</v>
      </c>
      <c r="V46" s="283">
        <f>2269.35914+95.9902+17.198+17.198281</f>
        <v>2399.745621</v>
      </c>
      <c r="W46" s="285"/>
      <c r="X46" s="52">
        <f t="shared" si="29"/>
        <v>93.304157957355486</v>
      </c>
      <c r="Y46" s="415"/>
      <c r="Z46" s="50"/>
    </row>
    <row r="47" spans="1:26" ht="36">
      <c r="A47" s="430" t="s">
        <v>227</v>
      </c>
      <c r="B47" s="441" t="s">
        <v>228</v>
      </c>
      <c r="C47" s="450" t="s">
        <v>229</v>
      </c>
      <c r="D47" s="425" t="s">
        <v>45</v>
      </c>
      <c r="E47" s="441">
        <v>7983752</v>
      </c>
      <c r="F47" s="434" t="s">
        <v>205</v>
      </c>
      <c r="G47" s="419" t="s">
        <v>89</v>
      </c>
      <c r="H47" s="439" t="s">
        <v>230</v>
      </c>
      <c r="I47" s="21">
        <v>5500</v>
      </c>
      <c r="J47" s="21">
        <v>5000</v>
      </c>
      <c r="K47" s="21">
        <v>5500</v>
      </c>
      <c r="L47" s="22">
        <v>2448.7600000000002</v>
      </c>
      <c r="M47" s="21">
        <v>5500</v>
      </c>
      <c r="N47" s="21">
        <v>5000</v>
      </c>
      <c r="O47" s="415"/>
      <c r="P47" s="415"/>
      <c r="Q47" s="449">
        <f t="shared" si="26"/>
        <v>2551.2399999999998</v>
      </c>
      <c r="R47" s="449">
        <f t="shared" si="27"/>
        <v>2551.2399999999998</v>
      </c>
      <c r="S47" s="449">
        <f t="shared" si="28"/>
        <v>2551.2399999999998</v>
      </c>
      <c r="T47" s="51"/>
      <c r="U47" s="283">
        <f t="shared" ref="U47:U78" si="30">V47+W47</f>
        <v>2410.915</v>
      </c>
      <c r="V47" s="283">
        <v>2410.915</v>
      </c>
      <c r="W47" s="285"/>
      <c r="X47" s="52">
        <f t="shared" si="29"/>
        <v>94.49973346294351</v>
      </c>
      <c r="Y47" s="415"/>
      <c r="Z47" s="50"/>
    </row>
    <row r="48" spans="1:26" ht="31.5">
      <c r="A48" s="430" t="s">
        <v>231</v>
      </c>
      <c r="B48" s="441" t="s">
        <v>232</v>
      </c>
      <c r="C48" s="450" t="s">
        <v>233</v>
      </c>
      <c r="D48" s="425" t="s">
        <v>63</v>
      </c>
      <c r="E48" s="441">
        <v>7986339</v>
      </c>
      <c r="F48" s="434" t="s">
        <v>205</v>
      </c>
      <c r="G48" s="419" t="s">
        <v>89</v>
      </c>
      <c r="H48" s="439" t="s">
        <v>234</v>
      </c>
      <c r="I48" s="21">
        <v>5500</v>
      </c>
      <c r="J48" s="21">
        <v>5000</v>
      </c>
      <c r="K48" s="21">
        <v>5500</v>
      </c>
      <c r="L48" s="22">
        <v>2272.61</v>
      </c>
      <c r="M48" s="21">
        <v>5500</v>
      </c>
      <c r="N48" s="21">
        <v>5000</v>
      </c>
      <c r="O48" s="421"/>
      <c r="P48" s="421"/>
      <c r="Q48" s="449">
        <f t="shared" si="26"/>
        <v>2727.39</v>
      </c>
      <c r="R48" s="449">
        <f t="shared" si="27"/>
        <v>2727.39</v>
      </c>
      <c r="S48" s="449">
        <f t="shared" si="28"/>
        <v>2727.39</v>
      </c>
      <c r="T48" s="283"/>
      <c r="U48" s="283">
        <f t="shared" si="30"/>
        <v>1119.2919999999999</v>
      </c>
      <c r="V48" s="283">
        <v>1119.2919999999999</v>
      </c>
      <c r="W48" s="284"/>
      <c r="X48" s="52">
        <f t="shared" si="29"/>
        <v>41.038941992161007</v>
      </c>
      <c r="Y48" s="421"/>
    </row>
    <row r="49" spans="1:25" ht="31.5">
      <c r="A49" s="430" t="s">
        <v>235</v>
      </c>
      <c r="B49" s="441" t="s">
        <v>236</v>
      </c>
      <c r="C49" s="450" t="s">
        <v>237</v>
      </c>
      <c r="D49" s="425" t="s">
        <v>61</v>
      </c>
      <c r="E49" s="441">
        <v>7985613</v>
      </c>
      <c r="F49" s="434" t="s">
        <v>205</v>
      </c>
      <c r="G49" s="419" t="s">
        <v>89</v>
      </c>
      <c r="H49" s="439" t="s">
        <v>238</v>
      </c>
      <c r="I49" s="21">
        <v>5500</v>
      </c>
      <c r="J49" s="21">
        <v>5000</v>
      </c>
      <c r="K49" s="21">
        <v>5500</v>
      </c>
      <c r="L49" s="22">
        <v>2202.5100000000002</v>
      </c>
      <c r="M49" s="21">
        <v>5500</v>
      </c>
      <c r="N49" s="21">
        <v>5000</v>
      </c>
      <c r="O49" s="421"/>
      <c r="P49" s="421"/>
      <c r="Q49" s="449">
        <f t="shared" si="26"/>
        <v>2797.49</v>
      </c>
      <c r="R49" s="449">
        <f t="shared" si="27"/>
        <v>2797.49</v>
      </c>
      <c r="S49" s="449">
        <f t="shared" si="28"/>
        <v>2797.49</v>
      </c>
      <c r="T49" s="283"/>
      <c r="U49" s="283">
        <f t="shared" si="30"/>
        <v>2506.59</v>
      </c>
      <c r="V49" s="283">
        <v>2506.59</v>
      </c>
      <c r="W49" s="284"/>
      <c r="X49" s="52">
        <f t="shared" si="29"/>
        <v>89.601392677006899</v>
      </c>
      <c r="Y49" s="421"/>
    </row>
    <row r="50" spans="1:25" ht="31.5">
      <c r="A50" s="430" t="s">
        <v>239</v>
      </c>
      <c r="B50" s="441" t="s">
        <v>240</v>
      </c>
      <c r="C50" s="450" t="s">
        <v>241</v>
      </c>
      <c r="D50" s="425" t="s">
        <v>64</v>
      </c>
      <c r="E50" s="441">
        <v>7985605</v>
      </c>
      <c r="F50" s="434" t="s">
        <v>205</v>
      </c>
      <c r="G50" s="419" t="s">
        <v>89</v>
      </c>
      <c r="H50" s="439" t="s">
        <v>242</v>
      </c>
      <c r="I50" s="21">
        <v>5500</v>
      </c>
      <c r="J50" s="21">
        <v>5000</v>
      </c>
      <c r="K50" s="21">
        <v>5500</v>
      </c>
      <c r="L50" s="22">
        <v>2299.81</v>
      </c>
      <c r="M50" s="21">
        <v>5500</v>
      </c>
      <c r="N50" s="21">
        <v>5000</v>
      </c>
      <c r="O50" s="421"/>
      <c r="P50" s="421"/>
      <c r="Q50" s="449">
        <f t="shared" si="26"/>
        <v>2700.19</v>
      </c>
      <c r="R50" s="449">
        <f t="shared" si="27"/>
        <v>2700.19</v>
      </c>
      <c r="S50" s="449">
        <f t="shared" si="28"/>
        <v>2700.19</v>
      </c>
      <c r="T50" s="283"/>
      <c r="U50" s="283">
        <f t="shared" si="30"/>
        <v>0</v>
      </c>
      <c r="V50" s="283"/>
      <c r="W50" s="284"/>
      <c r="X50" s="52">
        <f t="shared" si="29"/>
        <v>0</v>
      </c>
      <c r="Y50" s="421"/>
    </row>
    <row r="51" spans="1:25" ht="31.5">
      <c r="A51" s="430" t="s">
        <v>243</v>
      </c>
      <c r="B51" s="441" t="s">
        <v>244</v>
      </c>
      <c r="C51" s="450" t="s">
        <v>245</v>
      </c>
      <c r="D51" s="425" t="s">
        <v>65</v>
      </c>
      <c r="E51" s="441">
        <v>7986347</v>
      </c>
      <c r="F51" s="434" t="s">
        <v>205</v>
      </c>
      <c r="G51" s="419" t="s">
        <v>89</v>
      </c>
      <c r="H51" s="439" t="s">
        <v>246</v>
      </c>
      <c r="I51" s="21">
        <v>5500</v>
      </c>
      <c r="J51" s="21">
        <v>5000</v>
      </c>
      <c r="K51" s="21">
        <v>5500</v>
      </c>
      <c r="L51" s="22">
        <v>2281.06</v>
      </c>
      <c r="M51" s="21">
        <v>5500</v>
      </c>
      <c r="N51" s="21">
        <v>5000</v>
      </c>
      <c r="O51" s="421"/>
      <c r="P51" s="421"/>
      <c r="Q51" s="449">
        <f t="shared" si="26"/>
        <v>2718.94</v>
      </c>
      <c r="R51" s="449">
        <f t="shared" si="27"/>
        <v>2718.94</v>
      </c>
      <c r="S51" s="449">
        <f t="shared" si="28"/>
        <v>2718.94</v>
      </c>
      <c r="T51" s="283"/>
      <c r="U51" s="283">
        <f t="shared" si="30"/>
        <v>2421.3110000000001</v>
      </c>
      <c r="V51" s="283">
        <v>2421.3110000000001</v>
      </c>
      <c r="W51" s="284"/>
      <c r="X51" s="52">
        <f t="shared" si="29"/>
        <v>89.053491434161842</v>
      </c>
      <c r="Y51" s="421"/>
    </row>
    <row r="52" spans="1:25" s="50" customFormat="1">
      <c r="A52" s="451" t="s">
        <v>97</v>
      </c>
      <c r="B52" s="415" t="s">
        <v>189</v>
      </c>
      <c r="C52" s="412"/>
      <c r="D52" s="410"/>
      <c r="E52" s="415"/>
      <c r="F52" s="415"/>
      <c r="G52" s="416"/>
      <c r="H52" s="417"/>
      <c r="I52" s="294">
        <f>SUM(I53:I54)</f>
        <v>24223.257368507999</v>
      </c>
      <c r="J52" s="294">
        <f t="shared" ref="J52:Q52" si="31">SUM(J53:J54)</f>
        <v>22021.14306228</v>
      </c>
      <c r="K52" s="294">
        <f t="shared" si="31"/>
        <v>0</v>
      </c>
      <c r="L52" s="294">
        <f t="shared" si="31"/>
        <v>0</v>
      </c>
      <c r="M52" s="294">
        <f t="shared" si="31"/>
        <v>24223.257368507999</v>
      </c>
      <c r="N52" s="294">
        <f t="shared" si="31"/>
        <v>22021.14306228</v>
      </c>
      <c r="O52" s="294">
        <f t="shared" si="31"/>
        <v>0</v>
      </c>
      <c r="P52" s="294">
        <f t="shared" si="31"/>
        <v>0</v>
      </c>
      <c r="Q52" s="294">
        <f t="shared" si="31"/>
        <v>6087.4000000000005</v>
      </c>
      <c r="R52" s="294">
        <f>SUM(R53:R54)</f>
        <v>5534</v>
      </c>
      <c r="S52" s="294">
        <f>SUM(S53:S54)</f>
        <v>5534</v>
      </c>
      <c r="T52" s="294">
        <f t="shared" ref="T52:W52" si="32">SUM(T53:T54)</f>
        <v>0</v>
      </c>
      <c r="U52" s="51">
        <f>SUM(U53:U54)</f>
        <v>1768.193</v>
      </c>
      <c r="V52" s="51">
        <f>SUM(V53:V54)</f>
        <v>1768.193</v>
      </c>
      <c r="W52" s="285">
        <f t="shared" si="32"/>
        <v>0</v>
      </c>
      <c r="X52" s="258">
        <f t="shared" si="29"/>
        <v>31.951445608962775</v>
      </c>
      <c r="Y52" s="415"/>
    </row>
    <row r="53" spans="1:25" ht="30">
      <c r="A53" s="452" t="s">
        <v>247</v>
      </c>
      <c r="B53" s="426" t="s">
        <v>248</v>
      </c>
      <c r="C53" s="443" t="s">
        <v>66</v>
      </c>
      <c r="D53" s="433" t="s">
        <v>50</v>
      </c>
      <c r="E53" s="433"/>
      <c r="F53" s="433"/>
      <c r="G53" s="419" t="s">
        <v>196</v>
      </c>
      <c r="H53" s="423"/>
      <c r="I53" s="21">
        <v>4516.2005263319998</v>
      </c>
      <c r="J53" s="21">
        <v>4105.6368421199995</v>
      </c>
      <c r="K53" s="421"/>
      <c r="L53" s="421"/>
      <c r="M53" s="21">
        <v>4516.2005263319998</v>
      </c>
      <c r="N53" s="21">
        <v>4105.6368421199995</v>
      </c>
      <c r="O53" s="421"/>
      <c r="P53" s="421"/>
      <c r="Q53" s="21">
        <f>R53+(R53*10%)</f>
        <v>666.6</v>
      </c>
      <c r="R53" s="21">
        <v>606</v>
      </c>
      <c r="S53" s="21">
        <v>606</v>
      </c>
      <c r="T53" s="283"/>
      <c r="U53" s="283">
        <f t="shared" si="30"/>
        <v>0</v>
      </c>
      <c r="V53" s="283"/>
      <c r="W53" s="284"/>
      <c r="X53" s="52">
        <f t="shared" si="29"/>
        <v>0</v>
      </c>
      <c r="Y53" s="421"/>
    </row>
    <row r="54" spans="1:25" ht="31.5">
      <c r="A54" s="452" t="s">
        <v>249</v>
      </c>
      <c r="B54" s="426" t="s">
        <v>250</v>
      </c>
      <c r="C54" s="443" t="s">
        <v>66</v>
      </c>
      <c r="D54" s="433" t="s">
        <v>251</v>
      </c>
      <c r="E54" s="433">
        <v>7994274</v>
      </c>
      <c r="F54" s="433" t="s">
        <v>160</v>
      </c>
      <c r="G54" s="419" t="s">
        <v>196</v>
      </c>
      <c r="H54" s="446" t="s">
        <v>252</v>
      </c>
      <c r="I54" s="21">
        <v>19707.056842176</v>
      </c>
      <c r="J54" s="21">
        <v>17915.506220160001</v>
      </c>
      <c r="K54" s="421"/>
      <c r="L54" s="421"/>
      <c r="M54" s="21">
        <v>19707.056842176</v>
      </c>
      <c r="N54" s="21">
        <v>17915.506220160001</v>
      </c>
      <c r="O54" s="421"/>
      <c r="P54" s="421"/>
      <c r="Q54" s="21">
        <f>R54+(R54*10%)</f>
        <v>5420.8</v>
      </c>
      <c r="R54" s="21">
        <v>4928</v>
      </c>
      <c r="S54" s="21">
        <v>4928</v>
      </c>
      <c r="T54" s="283"/>
      <c r="U54" s="283">
        <f t="shared" si="30"/>
        <v>1768.193</v>
      </c>
      <c r="V54" s="283">
        <v>1768.193</v>
      </c>
      <c r="W54" s="284"/>
      <c r="X54" s="52">
        <f>U54/R54*100</f>
        <v>35.880539772727275</v>
      </c>
      <c r="Y54" s="421"/>
    </row>
    <row r="55" spans="1:25">
      <c r="A55" s="418">
        <v>4</v>
      </c>
      <c r="B55" s="428" t="s">
        <v>253</v>
      </c>
      <c r="C55" s="419"/>
      <c r="D55" s="420"/>
      <c r="E55" s="421"/>
      <c r="F55" s="421"/>
      <c r="G55" s="422"/>
      <c r="H55" s="423"/>
      <c r="I55" s="294">
        <f>SUM(I56:I62)</f>
        <v>35038</v>
      </c>
      <c r="J55" s="294">
        <f t="shared" ref="J55:R55" si="33">SUM(J56:J62)</f>
        <v>31859</v>
      </c>
      <c r="K55" s="294">
        <f t="shared" si="33"/>
        <v>35038</v>
      </c>
      <c r="L55" s="294">
        <f t="shared" si="33"/>
        <v>8678</v>
      </c>
      <c r="M55" s="294">
        <f t="shared" si="33"/>
        <v>35038</v>
      </c>
      <c r="N55" s="294">
        <f t="shared" si="33"/>
        <v>31859</v>
      </c>
      <c r="O55" s="294">
        <f t="shared" si="33"/>
        <v>0</v>
      </c>
      <c r="P55" s="294">
        <f t="shared" si="33"/>
        <v>0</v>
      </c>
      <c r="Q55" s="294">
        <f t="shared" si="33"/>
        <v>11633</v>
      </c>
      <c r="R55" s="294">
        <f t="shared" si="33"/>
        <v>11633</v>
      </c>
      <c r="S55" s="294">
        <f t="shared" ref="S55" si="34">SUM(S56:S62)</f>
        <v>11633</v>
      </c>
      <c r="T55" s="283"/>
      <c r="U55" s="283">
        <f>V55+W55</f>
        <v>0</v>
      </c>
      <c r="V55" s="283"/>
      <c r="W55" s="284"/>
      <c r="X55" s="283"/>
      <c r="Y55" s="421"/>
    </row>
    <row r="56" spans="1:25" ht="34.5" customHeight="1">
      <c r="A56" s="425" t="s">
        <v>98</v>
      </c>
      <c r="B56" s="441" t="s">
        <v>254</v>
      </c>
      <c r="C56" s="432" t="s">
        <v>66</v>
      </c>
      <c r="D56" s="433" t="s">
        <v>21</v>
      </c>
      <c r="E56" s="433">
        <v>7970456</v>
      </c>
      <c r="F56" s="433" t="s">
        <v>255</v>
      </c>
      <c r="G56" s="443" t="s">
        <v>93</v>
      </c>
      <c r="H56" s="446" t="s">
        <v>256</v>
      </c>
      <c r="I56" s="21">
        <f>1229+765+765+2556</f>
        <v>5315</v>
      </c>
      <c r="J56" s="21">
        <f>1117+696+696+2324</f>
        <v>4833</v>
      </c>
      <c r="K56" s="21">
        <f>1229+765+765+2556</f>
        <v>5315</v>
      </c>
      <c r="L56" s="21">
        <f>670+696</f>
        <v>1366</v>
      </c>
      <c r="M56" s="21">
        <f>1229+765+765+2556</f>
        <v>5315</v>
      </c>
      <c r="N56" s="21">
        <f>1117+696+696+2324</f>
        <v>4833</v>
      </c>
      <c r="O56" s="421"/>
      <c r="P56" s="421"/>
      <c r="Q56" s="444">
        <f>R56</f>
        <v>1437</v>
      </c>
      <c r="R56" s="21">
        <v>1437</v>
      </c>
      <c r="S56" s="21">
        <v>1437</v>
      </c>
      <c r="T56" s="283"/>
      <c r="U56" s="283">
        <f t="shared" si="30"/>
        <v>0</v>
      </c>
      <c r="V56" s="283"/>
      <c r="W56" s="284"/>
      <c r="X56" s="52">
        <f>U56/R56*100</f>
        <v>0</v>
      </c>
      <c r="Y56" s="421"/>
    </row>
    <row r="57" spans="1:25" ht="34.5" customHeight="1">
      <c r="A57" s="425" t="s">
        <v>101</v>
      </c>
      <c r="B57" s="441" t="s">
        <v>257</v>
      </c>
      <c r="C57" s="322"/>
      <c r="D57" s="433" t="s">
        <v>20</v>
      </c>
      <c r="E57" s="433">
        <v>7974807</v>
      </c>
      <c r="F57" s="433" t="s">
        <v>255</v>
      </c>
      <c r="G57" s="443" t="s">
        <v>93</v>
      </c>
      <c r="H57" s="446" t="s">
        <v>258</v>
      </c>
      <c r="I57" s="21">
        <f>983+765+1917</f>
        <v>3665</v>
      </c>
      <c r="J57" s="21">
        <f>894+696+1743</f>
        <v>3333</v>
      </c>
      <c r="K57" s="21">
        <f>983+765+1917</f>
        <v>3665</v>
      </c>
      <c r="L57" s="21">
        <f>696</f>
        <v>696</v>
      </c>
      <c r="M57" s="21">
        <f>983+765+1917</f>
        <v>3665</v>
      </c>
      <c r="N57" s="21">
        <f>894+696+1743</f>
        <v>3333</v>
      </c>
      <c r="O57" s="421"/>
      <c r="P57" s="421"/>
      <c r="Q57" s="444">
        <f t="shared" ref="Q57:Q62" si="35">R57</f>
        <v>1637</v>
      </c>
      <c r="R57" s="21">
        <v>1637</v>
      </c>
      <c r="S57" s="21">
        <v>1637</v>
      </c>
      <c r="T57" s="283"/>
      <c r="U57" s="283">
        <f t="shared" si="30"/>
        <v>0</v>
      </c>
      <c r="V57" s="283"/>
      <c r="W57" s="284"/>
      <c r="X57" s="52">
        <f t="shared" ref="X57:X118" si="36">U57/R57*100</f>
        <v>0</v>
      </c>
      <c r="Y57" s="421"/>
    </row>
    <row r="58" spans="1:25" ht="34.5" customHeight="1">
      <c r="A58" s="425" t="s">
        <v>102</v>
      </c>
      <c r="B58" s="441" t="s">
        <v>259</v>
      </c>
      <c r="C58" s="322"/>
      <c r="D58" s="433" t="s">
        <v>18</v>
      </c>
      <c r="E58" s="433">
        <v>7971598</v>
      </c>
      <c r="F58" s="433" t="s">
        <v>255</v>
      </c>
      <c r="G58" s="443" t="s">
        <v>93</v>
      </c>
      <c r="H58" s="446" t="s">
        <v>260</v>
      </c>
      <c r="I58" s="21">
        <f>4179+1530+765+2556</f>
        <v>9030</v>
      </c>
      <c r="J58" s="21">
        <f>3799+1391+696+2324</f>
        <v>8210</v>
      </c>
      <c r="K58" s="21">
        <f>4179+1530+765+2556</f>
        <v>9030</v>
      </c>
      <c r="L58" s="21">
        <v>1391</v>
      </c>
      <c r="M58" s="21">
        <f>4179+1530+765+2556</f>
        <v>9030</v>
      </c>
      <c r="N58" s="21">
        <f>3799+1391+696+2324</f>
        <v>8210</v>
      </c>
      <c r="O58" s="421"/>
      <c r="P58" s="421"/>
      <c r="Q58" s="444">
        <f t="shared" si="35"/>
        <v>3105</v>
      </c>
      <c r="R58" s="21">
        <v>3105</v>
      </c>
      <c r="S58" s="21">
        <v>3105</v>
      </c>
      <c r="T58" s="283"/>
      <c r="U58" s="283">
        <f t="shared" si="30"/>
        <v>0</v>
      </c>
      <c r="V58" s="283"/>
      <c r="W58" s="284"/>
      <c r="X58" s="52">
        <f t="shared" si="36"/>
        <v>0</v>
      </c>
      <c r="Y58" s="421"/>
    </row>
    <row r="59" spans="1:25" ht="34.5" customHeight="1">
      <c r="A59" s="425" t="s">
        <v>103</v>
      </c>
      <c r="B59" s="441" t="s">
        <v>261</v>
      </c>
      <c r="C59" s="322"/>
      <c r="D59" s="433" t="s">
        <v>22</v>
      </c>
      <c r="E59" s="433">
        <v>7970457</v>
      </c>
      <c r="F59" s="433" t="s">
        <v>255</v>
      </c>
      <c r="G59" s="443" t="s">
        <v>93</v>
      </c>
      <c r="H59" s="446" t="s">
        <v>262</v>
      </c>
      <c r="I59" s="21">
        <f>246+765+765+1917</f>
        <v>3693</v>
      </c>
      <c r="J59" s="21">
        <f>223+696+696+1743</f>
        <v>3358</v>
      </c>
      <c r="K59" s="21">
        <f>246+765+765+1917</f>
        <v>3693</v>
      </c>
      <c r="L59" s="21">
        <f>223+696</f>
        <v>919</v>
      </c>
      <c r="M59" s="21">
        <f>246+765+765+1917</f>
        <v>3693</v>
      </c>
      <c r="N59" s="21">
        <f>223+696+696+1743</f>
        <v>3358</v>
      </c>
      <c r="O59" s="421"/>
      <c r="P59" s="421"/>
      <c r="Q59" s="444">
        <f t="shared" si="35"/>
        <v>1135</v>
      </c>
      <c r="R59" s="21">
        <v>1135</v>
      </c>
      <c r="S59" s="21">
        <v>1135</v>
      </c>
      <c r="T59" s="283"/>
      <c r="U59" s="283">
        <f t="shared" si="30"/>
        <v>0</v>
      </c>
      <c r="V59" s="283"/>
      <c r="W59" s="284"/>
      <c r="X59" s="52">
        <f t="shared" si="36"/>
        <v>0</v>
      </c>
      <c r="Y59" s="421"/>
    </row>
    <row r="60" spans="1:25" ht="34.5" customHeight="1">
      <c r="A60" s="425" t="s">
        <v>263</v>
      </c>
      <c r="B60" s="441" t="s">
        <v>264</v>
      </c>
      <c r="C60" s="322"/>
      <c r="D60" s="433" t="s">
        <v>265</v>
      </c>
      <c r="E60" s="433">
        <v>7974808</v>
      </c>
      <c r="F60" s="433" t="s">
        <v>255</v>
      </c>
      <c r="G60" s="443" t="s">
        <v>93</v>
      </c>
      <c r="H60" s="446" t="s">
        <v>266</v>
      </c>
      <c r="I60" s="21">
        <f>492+765+765+1917</f>
        <v>3939</v>
      </c>
      <c r="J60" s="21">
        <f>447+696+696+1743</f>
        <v>3582</v>
      </c>
      <c r="K60" s="21">
        <f>492+765+765+1917</f>
        <v>3939</v>
      </c>
      <c r="L60" s="21">
        <f>696</f>
        <v>696</v>
      </c>
      <c r="M60" s="21">
        <f>492+765+765+1917</f>
        <v>3939</v>
      </c>
      <c r="N60" s="21">
        <f>447+696+696+1743</f>
        <v>3582</v>
      </c>
      <c r="O60" s="421"/>
      <c r="P60" s="421"/>
      <c r="Q60" s="444">
        <f t="shared" si="35"/>
        <v>1386</v>
      </c>
      <c r="R60" s="21">
        <v>1386</v>
      </c>
      <c r="S60" s="21">
        <v>1386</v>
      </c>
      <c r="T60" s="283"/>
      <c r="U60" s="283">
        <f t="shared" si="30"/>
        <v>0</v>
      </c>
      <c r="V60" s="283"/>
      <c r="W60" s="284"/>
      <c r="X60" s="52">
        <f t="shared" si="36"/>
        <v>0</v>
      </c>
      <c r="Y60" s="421"/>
    </row>
    <row r="61" spans="1:25" ht="34.5" customHeight="1">
      <c r="A61" s="425" t="s">
        <v>267</v>
      </c>
      <c r="B61" s="441" t="s">
        <v>268</v>
      </c>
      <c r="C61" s="322"/>
      <c r="D61" s="433" t="s">
        <v>100</v>
      </c>
      <c r="E61" s="433">
        <v>7974806</v>
      </c>
      <c r="F61" s="433" t="s">
        <v>255</v>
      </c>
      <c r="G61" s="443" t="s">
        <v>93</v>
      </c>
      <c r="H61" s="446" t="s">
        <v>269</v>
      </c>
      <c r="I61" s="21">
        <f>492+765+765+1917</f>
        <v>3939</v>
      </c>
      <c r="J61" s="21">
        <f>447+696+696+1743</f>
        <v>3582</v>
      </c>
      <c r="K61" s="21">
        <f>492+765+765+1917</f>
        <v>3939</v>
      </c>
      <c r="L61" s="21">
        <f>447+696</f>
        <v>1143</v>
      </c>
      <c r="M61" s="21">
        <f>492+765+765+1917</f>
        <v>3939</v>
      </c>
      <c r="N61" s="21">
        <f>447+696+696+1743</f>
        <v>3582</v>
      </c>
      <c r="O61" s="421"/>
      <c r="P61" s="421"/>
      <c r="Q61" s="444">
        <f t="shared" si="35"/>
        <v>1439</v>
      </c>
      <c r="R61" s="21">
        <v>1439</v>
      </c>
      <c r="S61" s="21">
        <v>1439</v>
      </c>
      <c r="T61" s="283"/>
      <c r="U61" s="283">
        <f t="shared" si="30"/>
        <v>0</v>
      </c>
      <c r="V61" s="283"/>
      <c r="W61" s="284"/>
      <c r="X61" s="52">
        <f t="shared" si="36"/>
        <v>0</v>
      </c>
      <c r="Y61" s="421"/>
    </row>
    <row r="62" spans="1:25" ht="34.5" customHeight="1">
      <c r="A62" s="425" t="s">
        <v>270</v>
      </c>
      <c r="B62" s="441" t="s">
        <v>271</v>
      </c>
      <c r="C62" s="319"/>
      <c r="D62" s="433" t="s">
        <v>18</v>
      </c>
      <c r="E62" s="433">
        <v>7982837</v>
      </c>
      <c r="F62" s="433" t="s">
        <v>272</v>
      </c>
      <c r="G62" s="443" t="s">
        <v>93</v>
      </c>
      <c r="H62" s="446" t="s">
        <v>273</v>
      </c>
      <c r="I62" s="21">
        <f>983+4474</f>
        <v>5457</v>
      </c>
      <c r="J62" s="21">
        <f>894+4067</f>
        <v>4961</v>
      </c>
      <c r="K62" s="21">
        <f>983+4474</f>
        <v>5457</v>
      </c>
      <c r="L62" s="21">
        <v>2467</v>
      </c>
      <c r="M62" s="21">
        <f>983+4474</f>
        <v>5457</v>
      </c>
      <c r="N62" s="21">
        <f>894+4067</f>
        <v>4961</v>
      </c>
      <c r="O62" s="421"/>
      <c r="P62" s="421"/>
      <c r="Q62" s="444">
        <f t="shared" si="35"/>
        <v>1494</v>
      </c>
      <c r="R62" s="21">
        <v>1494</v>
      </c>
      <c r="S62" s="21">
        <v>1494</v>
      </c>
      <c r="T62" s="283"/>
      <c r="U62" s="283">
        <f t="shared" si="30"/>
        <v>0</v>
      </c>
      <c r="V62" s="283"/>
      <c r="W62" s="284"/>
      <c r="X62" s="52">
        <f t="shared" si="36"/>
        <v>0</v>
      </c>
      <c r="Y62" s="421"/>
    </row>
    <row r="63" spans="1:25">
      <c r="A63" s="418">
        <v>5</v>
      </c>
      <c r="B63" s="428" t="s">
        <v>37</v>
      </c>
      <c r="C63" s="453"/>
      <c r="D63" s="411"/>
      <c r="E63" s="414"/>
      <c r="F63" s="414"/>
      <c r="G63" s="454"/>
      <c r="H63" s="423"/>
      <c r="I63" s="288">
        <f>I64+I66</f>
        <v>6767.0887024888889</v>
      </c>
      <c r="J63" s="288">
        <f t="shared" ref="J63:R63" si="37">J64+J66</f>
        <v>6151.8988204444449</v>
      </c>
      <c r="K63" s="288">
        <f t="shared" si="37"/>
        <v>356.16256328888886</v>
      </c>
      <c r="L63" s="288">
        <f t="shared" si="37"/>
        <v>181.78399999999999</v>
      </c>
      <c r="M63" s="288">
        <f t="shared" si="37"/>
        <v>6767.0887024888889</v>
      </c>
      <c r="N63" s="288">
        <f t="shared" si="37"/>
        <v>6151.8988204444449</v>
      </c>
      <c r="O63" s="288">
        <f t="shared" si="37"/>
        <v>0</v>
      </c>
      <c r="P63" s="288">
        <f t="shared" si="37"/>
        <v>0</v>
      </c>
      <c r="Q63" s="288">
        <f t="shared" si="37"/>
        <v>1924.0028383111112</v>
      </c>
      <c r="R63" s="286">
        <f t="shared" si="37"/>
        <v>1762.0025937777777</v>
      </c>
      <c r="S63" s="286">
        <f t="shared" ref="S63:W63" si="38">S64+S66</f>
        <v>1762.0025937777777</v>
      </c>
      <c r="T63" s="286">
        <f t="shared" si="38"/>
        <v>0</v>
      </c>
      <c r="U63" s="286">
        <f>U64+U66</f>
        <v>758.74700000000007</v>
      </c>
      <c r="V63" s="286">
        <f t="shared" si="38"/>
        <v>758.74700000000007</v>
      </c>
      <c r="W63" s="299">
        <f t="shared" si="38"/>
        <v>0</v>
      </c>
      <c r="X63" s="283"/>
      <c r="Y63" s="421"/>
    </row>
    <row r="64" spans="1:25" ht="31.5">
      <c r="A64" s="418" t="s">
        <v>104</v>
      </c>
      <c r="B64" s="428" t="s">
        <v>274</v>
      </c>
      <c r="C64" s="453"/>
      <c r="D64" s="411"/>
      <c r="E64" s="414"/>
      <c r="F64" s="414"/>
      <c r="G64" s="454"/>
      <c r="H64" s="423"/>
      <c r="I64" s="294">
        <f>I65</f>
        <v>5342.4384493333337</v>
      </c>
      <c r="J64" s="294">
        <f t="shared" ref="J64:W64" si="39">J65</f>
        <v>4856.7622266666667</v>
      </c>
      <c r="K64" s="294">
        <f t="shared" si="39"/>
        <v>0</v>
      </c>
      <c r="L64" s="294">
        <f t="shared" si="39"/>
        <v>0</v>
      </c>
      <c r="M64" s="294">
        <f t="shared" si="39"/>
        <v>5342.4384493333337</v>
      </c>
      <c r="N64" s="294">
        <f t="shared" si="39"/>
        <v>4856.7622266666667</v>
      </c>
      <c r="O64" s="294">
        <f t="shared" si="39"/>
        <v>0</v>
      </c>
      <c r="P64" s="294">
        <f t="shared" si="39"/>
        <v>0</v>
      </c>
      <c r="Q64" s="294">
        <f t="shared" si="39"/>
        <v>713.51499999999999</v>
      </c>
      <c r="R64" s="51">
        <f t="shared" si="39"/>
        <v>648.65</v>
      </c>
      <c r="S64" s="51">
        <f t="shared" si="39"/>
        <v>648.65</v>
      </c>
      <c r="T64" s="51">
        <f t="shared" si="39"/>
        <v>0</v>
      </c>
      <c r="U64" s="51">
        <f t="shared" si="39"/>
        <v>0</v>
      </c>
      <c r="V64" s="51">
        <f t="shared" si="39"/>
        <v>0</v>
      </c>
      <c r="W64" s="293">
        <f t="shared" si="39"/>
        <v>0</v>
      </c>
      <c r="X64" s="52">
        <f t="shared" si="36"/>
        <v>0</v>
      </c>
      <c r="Y64" s="421"/>
    </row>
    <row r="65" spans="1:26" ht="32.25" customHeight="1">
      <c r="A65" s="425" t="s">
        <v>28</v>
      </c>
      <c r="B65" s="441" t="s">
        <v>275</v>
      </c>
      <c r="C65" s="450" t="s">
        <v>641</v>
      </c>
      <c r="D65" s="433" t="s">
        <v>23</v>
      </c>
      <c r="E65" s="433"/>
      <c r="F65" s="433"/>
      <c r="G65" s="443" t="s">
        <v>196</v>
      </c>
      <c r="H65" s="423"/>
      <c r="I65" s="21">
        <v>5342.4384493333337</v>
      </c>
      <c r="J65" s="21">
        <v>4856.7622266666667</v>
      </c>
      <c r="K65" s="421"/>
      <c r="L65" s="421"/>
      <c r="M65" s="21">
        <v>5342.4384493333337</v>
      </c>
      <c r="N65" s="21">
        <v>4856.7622266666667</v>
      </c>
      <c r="O65" s="421"/>
      <c r="P65" s="421"/>
      <c r="Q65" s="21">
        <f>R65+(R65*10%)</f>
        <v>713.51499999999999</v>
      </c>
      <c r="R65" s="22">
        <v>648.65</v>
      </c>
      <c r="S65" s="22">
        <v>648.65</v>
      </c>
      <c r="T65" s="283"/>
      <c r="U65" s="283">
        <f t="shared" si="30"/>
        <v>0</v>
      </c>
      <c r="V65" s="283"/>
      <c r="W65" s="284"/>
      <c r="X65" s="52">
        <f t="shared" si="36"/>
        <v>0</v>
      </c>
      <c r="Y65" s="421"/>
    </row>
    <row r="66" spans="1:26">
      <c r="A66" s="418" t="s">
        <v>276</v>
      </c>
      <c r="B66" s="428" t="s">
        <v>106</v>
      </c>
      <c r="C66" s="419"/>
      <c r="D66" s="420"/>
      <c r="E66" s="421"/>
      <c r="F66" s="421"/>
      <c r="G66" s="422"/>
      <c r="H66" s="423"/>
      <c r="I66" s="294">
        <f>I67+I70</f>
        <v>1424.6502531555554</v>
      </c>
      <c r="J66" s="294">
        <f t="shared" ref="J66:R66" si="40">J67+J70</f>
        <v>1295.1365937777778</v>
      </c>
      <c r="K66" s="294">
        <f t="shared" si="40"/>
        <v>356.16256328888886</v>
      </c>
      <c r="L66" s="294">
        <f t="shared" si="40"/>
        <v>181.78399999999999</v>
      </c>
      <c r="M66" s="294">
        <f t="shared" si="40"/>
        <v>1424.6502531555554</v>
      </c>
      <c r="N66" s="294">
        <f t="shared" si="40"/>
        <v>1295.1365937777778</v>
      </c>
      <c r="O66" s="294">
        <f t="shared" si="40"/>
        <v>0</v>
      </c>
      <c r="P66" s="294">
        <f t="shared" si="40"/>
        <v>0</v>
      </c>
      <c r="Q66" s="294">
        <f t="shared" si="40"/>
        <v>1210.4878383111111</v>
      </c>
      <c r="R66" s="51">
        <f t="shared" si="40"/>
        <v>1113.3525937777777</v>
      </c>
      <c r="S66" s="51">
        <f t="shared" ref="S66:U66" si="41">S67+S70</f>
        <v>1113.3525937777777</v>
      </c>
      <c r="T66" s="51">
        <f t="shared" si="41"/>
        <v>0</v>
      </c>
      <c r="U66" s="51">
        <f t="shared" si="41"/>
        <v>758.74700000000007</v>
      </c>
      <c r="V66" s="51">
        <f>V67+V70</f>
        <v>758.74700000000007</v>
      </c>
      <c r="W66" s="284"/>
      <c r="X66" s="52">
        <f t="shared" si="36"/>
        <v>68.149749166654743</v>
      </c>
      <c r="Y66" s="421"/>
    </row>
    <row r="67" spans="1:26">
      <c r="A67" s="415" t="s">
        <v>277</v>
      </c>
      <c r="B67" s="415" t="s">
        <v>161</v>
      </c>
      <c r="C67" s="412"/>
      <c r="D67" s="410"/>
      <c r="E67" s="415"/>
      <c r="F67" s="415"/>
      <c r="G67" s="416"/>
      <c r="H67" s="417"/>
      <c r="I67" s="294">
        <f>SUM(I68:I69)</f>
        <v>356.16256328888886</v>
      </c>
      <c r="J67" s="294">
        <f t="shared" ref="J67:R67" si="42">SUM(J68:J69)</f>
        <v>323.78414844444444</v>
      </c>
      <c r="K67" s="294">
        <f t="shared" si="42"/>
        <v>356.16256328888886</v>
      </c>
      <c r="L67" s="294">
        <f t="shared" si="42"/>
        <v>181.78399999999999</v>
      </c>
      <c r="M67" s="294">
        <f t="shared" si="42"/>
        <v>356.16256328888886</v>
      </c>
      <c r="N67" s="294">
        <f t="shared" si="42"/>
        <v>323.78414844444444</v>
      </c>
      <c r="O67" s="294">
        <f t="shared" si="42"/>
        <v>0</v>
      </c>
      <c r="P67" s="294">
        <f t="shared" si="42"/>
        <v>0</v>
      </c>
      <c r="Q67" s="294">
        <f t="shared" si="42"/>
        <v>142.00014844444445</v>
      </c>
      <c r="R67" s="51">
        <f t="shared" si="42"/>
        <v>142.00014844444445</v>
      </c>
      <c r="S67" s="51">
        <f t="shared" ref="S67:T67" si="43">SUM(S68:S69)</f>
        <v>142.00014844444445</v>
      </c>
      <c r="T67" s="51">
        <f t="shared" si="43"/>
        <v>0</v>
      </c>
      <c r="U67" s="51">
        <f>SUM(U68:U69)</f>
        <v>130.12700000000001</v>
      </c>
      <c r="V67" s="51">
        <f>SUM(V68:V69)</f>
        <v>130.12700000000001</v>
      </c>
      <c r="W67" s="285"/>
      <c r="X67" s="52">
        <f t="shared" si="36"/>
        <v>91.638636596855633</v>
      </c>
      <c r="Y67" s="415"/>
      <c r="Z67" s="50"/>
    </row>
    <row r="68" spans="1:26" ht="38.25" customHeight="1">
      <c r="A68" s="452" t="s">
        <v>278</v>
      </c>
      <c r="B68" s="441" t="s">
        <v>279</v>
      </c>
      <c r="C68" s="455" t="s">
        <v>105</v>
      </c>
      <c r="D68" s="433" t="s">
        <v>100</v>
      </c>
      <c r="E68" s="433">
        <v>8006188</v>
      </c>
      <c r="F68" s="434">
        <v>160.161</v>
      </c>
      <c r="G68" s="443" t="s">
        <v>89</v>
      </c>
      <c r="H68" s="446" t="s">
        <v>280</v>
      </c>
      <c r="I68" s="21">
        <v>178.08128164444443</v>
      </c>
      <c r="J68" s="22">
        <v>161.89207422222222</v>
      </c>
      <c r="K68" s="21">
        <v>178.08128164444443</v>
      </c>
      <c r="L68" s="22">
        <v>90.891999999999996</v>
      </c>
      <c r="M68" s="21">
        <v>178.08128164444443</v>
      </c>
      <c r="N68" s="22">
        <v>161.89207422222222</v>
      </c>
      <c r="O68" s="421"/>
      <c r="P68" s="421"/>
      <c r="Q68" s="284">
        <f>R68</f>
        <v>71.000074222222224</v>
      </c>
      <c r="R68" s="22">
        <f>N68-L68</f>
        <v>71.000074222222224</v>
      </c>
      <c r="S68" s="22">
        <f>R68</f>
        <v>71.000074222222224</v>
      </c>
      <c r="T68" s="283"/>
      <c r="U68" s="283">
        <f t="shared" si="30"/>
        <v>71</v>
      </c>
      <c r="V68" s="456">
        <v>71</v>
      </c>
      <c r="W68" s="284"/>
      <c r="X68" s="52">
        <f t="shared" si="36"/>
        <v>99.999895461768119</v>
      </c>
      <c r="Y68" s="421"/>
    </row>
    <row r="69" spans="1:26" ht="31.5">
      <c r="A69" s="452" t="s">
        <v>281</v>
      </c>
      <c r="B69" s="441" t="s">
        <v>282</v>
      </c>
      <c r="C69" s="457"/>
      <c r="D69" s="433" t="s">
        <v>16</v>
      </c>
      <c r="E69" s="433">
        <v>8006200</v>
      </c>
      <c r="F69" s="434">
        <v>160.161</v>
      </c>
      <c r="G69" s="443" t="s">
        <v>89</v>
      </c>
      <c r="H69" s="446" t="s">
        <v>283</v>
      </c>
      <c r="I69" s="21">
        <v>178.08128164444443</v>
      </c>
      <c r="J69" s="22">
        <v>161.89207422222222</v>
      </c>
      <c r="K69" s="21">
        <v>178.08128164444443</v>
      </c>
      <c r="L69" s="22">
        <v>90.891999999999996</v>
      </c>
      <c r="M69" s="21">
        <v>178.08128164444443</v>
      </c>
      <c r="N69" s="22">
        <v>161.89207422222222</v>
      </c>
      <c r="O69" s="421"/>
      <c r="P69" s="421"/>
      <c r="Q69" s="284">
        <f>R69</f>
        <v>71.000074222222224</v>
      </c>
      <c r="R69" s="22">
        <f>N69-L69</f>
        <v>71.000074222222224</v>
      </c>
      <c r="S69" s="22">
        <f>R69</f>
        <v>71.000074222222224</v>
      </c>
      <c r="T69" s="283"/>
      <c r="U69" s="283">
        <f t="shared" si="30"/>
        <v>59.127000000000002</v>
      </c>
      <c r="V69" s="456">
        <v>59.127000000000002</v>
      </c>
      <c r="W69" s="284"/>
      <c r="X69" s="52">
        <f t="shared" si="36"/>
        <v>83.277377731943162</v>
      </c>
      <c r="Y69" s="421"/>
    </row>
    <row r="70" spans="1:26">
      <c r="A70" s="415" t="s">
        <v>284</v>
      </c>
      <c r="B70" s="415" t="s">
        <v>189</v>
      </c>
      <c r="C70" s="412"/>
      <c r="D70" s="410"/>
      <c r="E70" s="415"/>
      <c r="F70" s="415"/>
      <c r="G70" s="416"/>
      <c r="H70" s="417"/>
      <c r="I70" s="294">
        <f>SUM(I71:I76)</f>
        <v>1068.4876898666666</v>
      </c>
      <c r="J70" s="294">
        <f t="shared" ref="J70:R70" si="44">SUM(J71:J76)</f>
        <v>971.35244533333321</v>
      </c>
      <c r="K70" s="294">
        <f t="shared" si="44"/>
        <v>0</v>
      </c>
      <c r="L70" s="294">
        <f t="shared" si="44"/>
        <v>0</v>
      </c>
      <c r="M70" s="294">
        <f t="shared" si="44"/>
        <v>1068.4876898666666</v>
      </c>
      <c r="N70" s="294">
        <f t="shared" si="44"/>
        <v>971.35244533333321</v>
      </c>
      <c r="O70" s="294">
        <f t="shared" si="44"/>
        <v>0</v>
      </c>
      <c r="P70" s="294">
        <f t="shared" si="44"/>
        <v>0</v>
      </c>
      <c r="Q70" s="294">
        <f t="shared" si="44"/>
        <v>1068.4876898666666</v>
      </c>
      <c r="R70" s="51">
        <f t="shared" si="44"/>
        <v>971.35244533333321</v>
      </c>
      <c r="S70" s="51">
        <f t="shared" ref="S70" si="45">SUM(S71:S76)</f>
        <v>971.35244533333321</v>
      </c>
      <c r="T70" s="51"/>
      <c r="U70" s="51">
        <f t="shared" si="30"/>
        <v>628.62</v>
      </c>
      <c r="V70" s="458">
        <f>SUM(V71:V76)</f>
        <v>628.62</v>
      </c>
      <c r="W70" s="285"/>
      <c r="X70" s="52">
        <f t="shared" si="36"/>
        <v>64.715953825007389</v>
      </c>
      <c r="Y70" s="415"/>
      <c r="Z70" s="50"/>
    </row>
    <row r="71" spans="1:26" ht="35.25" customHeight="1">
      <c r="A71" s="452" t="s">
        <v>285</v>
      </c>
      <c r="B71" s="441" t="s">
        <v>286</v>
      </c>
      <c r="C71" s="455" t="s">
        <v>105</v>
      </c>
      <c r="D71" s="433" t="s">
        <v>16</v>
      </c>
      <c r="E71" s="433">
        <v>8006205</v>
      </c>
      <c r="F71" s="434">
        <v>160.161</v>
      </c>
      <c r="G71" s="443">
        <v>2023</v>
      </c>
      <c r="H71" s="446" t="s">
        <v>287</v>
      </c>
      <c r="I71" s="21">
        <v>178.08128164444443</v>
      </c>
      <c r="J71" s="22">
        <v>161.89207422222222</v>
      </c>
      <c r="K71" s="421"/>
      <c r="L71" s="421"/>
      <c r="M71" s="21">
        <v>178.08128164444443</v>
      </c>
      <c r="N71" s="22">
        <v>161.89207422222222</v>
      </c>
      <c r="O71" s="421"/>
      <c r="P71" s="421"/>
      <c r="Q71" s="21">
        <v>178.08128164444443</v>
      </c>
      <c r="R71" s="22">
        <v>161.89207422222222</v>
      </c>
      <c r="S71" s="22">
        <v>161.89207422222222</v>
      </c>
      <c r="T71" s="283"/>
      <c r="U71" s="283">
        <f t="shared" si="30"/>
        <v>116.792</v>
      </c>
      <c r="V71" s="456">
        <v>116.792</v>
      </c>
      <c r="W71" s="284"/>
      <c r="X71" s="52">
        <f t="shared" si="36"/>
        <v>72.141888700298381</v>
      </c>
      <c r="Y71" s="421"/>
    </row>
    <row r="72" spans="1:26" ht="31.5">
      <c r="A72" s="452" t="s">
        <v>288</v>
      </c>
      <c r="B72" s="441" t="s">
        <v>289</v>
      </c>
      <c r="C72" s="341"/>
      <c r="D72" s="433" t="s">
        <v>173</v>
      </c>
      <c r="E72" s="433">
        <v>8006189</v>
      </c>
      <c r="F72" s="434">
        <v>160.161</v>
      </c>
      <c r="G72" s="443">
        <v>2023</v>
      </c>
      <c r="H72" s="446" t="s">
        <v>290</v>
      </c>
      <c r="I72" s="21">
        <v>178.08128164444443</v>
      </c>
      <c r="J72" s="22">
        <v>161.89207422222222</v>
      </c>
      <c r="K72" s="421"/>
      <c r="L72" s="421"/>
      <c r="M72" s="21">
        <v>178.08128164444443</v>
      </c>
      <c r="N72" s="22">
        <v>161.89207422222222</v>
      </c>
      <c r="O72" s="421"/>
      <c r="P72" s="421"/>
      <c r="Q72" s="21">
        <v>178.08128164444443</v>
      </c>
      <c r="R72" s="22">
        <v>161.89207422222222</v>
      </c>
      <c r="S72" s="22">
        <v>161.89207422222222</v>
      </c>
      <c r="T72" s="283"/>
      <c r="U72" s="283">
        <f t="shared" si="30"/>
        <v>109.127</v>
      </c>
      <c r="V72" s="456">
        <v>109.127</v>
      </c>
      <c r="W72" s="284"/>
      <c r="X72" s="52">
        <f t="shared" si="36"/>
        <v>67.40725296422238</v>
      </c>
      <c r="Y72" s="421"/>
    </row>
    <row r="73" spans="1:26" ht="31.5">
      <c r="A73" s="452" t="s">
        <v>291</v>
      </c>
      <c r="B73" s="441" t="s">
        <v>292</v>
      </c>
      <c r="C73" s="341"/>
      <c r="D73" s="433" t="s">
        <v>18</v>
      </c>
      <c r="E73" s="433">
        <v>8006198</v>
      </c>
      <c r="F73" s="434">
        <v>160.161</v>
      </c>
      <c r="G73" s="443">
        <v>2023</v>
      </c>
      <c r="H73" s="446" t="s">
        <v>293</v>
      </c>
      <c r="I73" s="21">
        <v>178.08128164444443</v>
      </c>
      <c r="J73" s="22">
        <v>161.89207422222222</v>
      </c>
      <c r="K73" s="421"/>
      <c r="L73" s="421"/>
      <c r="M73" s="21">
        <v>178.08128164444443</v>
      </c>
      <c r="N73" s="22">
        <v>161.89207422222222</v>
      </c>
      <c r="O73" s="421"/>
      <c r="P73" s="421"/>
      <c r="Q73" s="21">
        <v>178.08128164444443</v>
      </c>
      <c r="R73" s="22">
        <v>161.89207422222222</v>
      </c>
      <c r="S73" s="22">
        <v>161.89207422222222</v>
      </c>
      <c r="T73" s="283"/>
      <c r="U73" s="283">
        <f t="shared" si="30"/>
        <v>34.4</v>
      </c>
      <c r="V73" s="456">
        <v>34.4</v>
      </c>
      <c r="W73" s="284"/>
      <c r="X73" s="52">
        <f t="shared" si="36"/>
        <v>21.24872398186746</v>
      </c>
      <c r="Y73" s="421"/>
    </row>
    <row r="74" spans="1:26" ht="31.5">
      <c r="A74" s="452" t="s">
        <v>294</v>
      </c>
      <c r="B74" s="441" t="s">
        <v>295</v>
      </c>
      <c r="C74" s="341"/>
      <c r="D74" s="433" t="s">
        <v>18</v>
      </c>
      <c r="E74" s="433">
        <v>8006199</v>
      </c>
      <c r="F74" s="434">
        <v>160.161</v>
      </c>
      <c r="G74" s="443">
        <v>2023</v>
      </c>
      <c r="H74" s="446" t="s">
        <v>296</v>
      </c>
      <c r="I74" s="21">
        <v>178.08128164444443</v>
      </c>
      <c r="J74" s="22">
        <v>161.89207422222222</v>
      </c>
      <c r="K74" s="421"/>
      <c r="L74" s="421"/>
      <c r="M74" s="21">
        <v>178.08128164444443</v>
      </c>
      <c r="N74" s="22">
        <v>161.89207422222222</v>
      </c>
      <c r="O74" s="421"/>
      <c r="P74" s="421"/>
      <c r="Q74" s="21">
        <v>178.08128164444443</v>
      </c>
      <c r="R74" s="22">
        <v>161.89207422222222</v>
      </c>
      <c r="S74" s="22">
        <v>161.89207422222222</v>
      </c>
      <c r="T74" s="283"/>
      <c r="U74" s="283">
        <f t="shared" si="30"/>
        <v>95.126999999999995</v>
      </c>
      <c r="V74" s="456">
        <v>95.126999999999995</v>
      </c>
      <c r="W74" s="284"/>
      <c r="X74" s="52">
        <f t="shared" si="36"/>
        <v>58.759516459974002</v>
      </c>
      <c r="Y74" s="421"/>
    </row>
    <row r="75" spans="1:26" ht="31.5">
      <c r="A75" s="452" t="s">
        <v>297</v>
      </c>
      <c r="B75" s="441" t="s">
        <v>298</v>
      </c>
      <c r="C75" s="341"/>
      <c r="D75" s="433" t="s">
        <v>22</v>
      </c>
      <c r="E75" s="433">
        <v>8006202</v>
      </c>
      <c r="F75" s="434">
        <v>160.161</v>
      </c>
      <c r="G75" s="443">
        <v>2023</v>
      </c>
      <c r="H75" s="446" t="s">
        <v>299</v>
      </c>
      <c r="I75" s="21">
        <v>178.08128164444443</v>
      </c>
      <c r="J75" s="22">
        <v>161.89207422222222</v>
      </c>
      <c r="K75" s="421"/>
      <c r="L75" s="421"/>
      <c r="M75" s="21">
        <v>178.08128164444443</v>
      </c>
      <c r="N75" s="22">
        <v>161.89207422222222</v>
      </c>
      <c r="O75" s="421"/>
      <c r="P75" s="421"/>
      <c r="Q75" s="21">
        <v>178.08128164444443</v>
      </c>
      <c r="R75" s="22">
        <v>161.89207422222222</v>
      </c>
      <c r="S75" s="22">
        <v>161.89207422222222</v>
      </c>
      <c r="T75" s="283"/>
      <c r="U75" s="283">
        <f t="shared" si="30"/>
        <v>126.38200000000001</v>
      </c>
      <c r="V75" s="456">
        <v>126.38200000000001</v>
      </c>
      <c r="W75" s="284"/>
      <c r="X75" s="52">
        <f t="shared" si="36"/>
        <v>78.065588205708522</v>
      </c>
      <c r="Y75" s="421"/>
    </row>
    <row r="76" spans="1:26" ht="31.5">
      <c r="A76" s="452" t="s">
        <v>300</v>
      </c>
      <c r="B76" s="441" t="s">
        <v>301</v>
      </c>
      <c r="C76" s="457"/>
      <c r="D76" s="433" t="s">
        <v>99</v>
      </c>
      <c r="E76" s="433">
        <v>8006203</v>
      </c>
      <c r="F76" s="434">
        <v>160.161</v>
      </c>
      <c r="G76" s="443">
        <v>2023</v>
      </c>
      <c r="H76" s="446" t="s">
        <v>302</v>
      </c>
      <c r="I76" s="21">
        <v>178.08128164444443</v>
      </c>
      <c r="J76" s="22">
        <v>161.89207422222222</v>
      </c>
      <c r="K76" s="421"/>
      <c r="L76" s="421"/>
      <c r="M76" s="21">
        <v>178.08128164444443</v>
      </c>
      <c r="N76" s="22">
        <v>161.89207422222222</v>
      </c>
      <c r="O76" s="421"/>
      <c r="P76" s="421"/>
      <c r="Q76" s="21">
        <v>178.08128164444443</v>
      </c>
      <c r="R76" s="22">
        <v>161.89207422222222</v>
      </c>
      <c r="S76" s="22">
        <v>161.89207422222222</v>
      </c>
      <c r="T76" s="283"/>
      <c r="U76" s="283">
        <f t="shared" si="30"/>
        <v>146.792</v>
      </c>
      <c r="V76" s="456">
        <v>146.792</v>
      </c>
      <c r="W76" s="284"/>
      <c r="X76" s="52">
        <f t="shared" si="36"/>
        <v>90.672752637973502</v>
      </c>
      <c r="Y76" s="421"/>
    </row>
    <row r="77" spans="1:26">
      <c r="A77" s="418">
        <v>6</v>
      </c>
      <c r="B77" s="428" t="s">
        <v>38</v>
      </c>
      <c r="C77" s="453"/>
      <c r="D77" s="411"/>
      <c r="E77" s="414"/>
      <c r="F77" s="414"/>
      <c r="G77" s="454"/>
      <c r="H77" s="423"/>
      <c r="I77" s="294">
        <f>I78</f>
        <v>4222.8999999999996</v>
      </c>
      <c r="J77" s="294">
        <f t="shared" ref="J77:S77" si="46">J78</f>
        <v>3839</v>
      </c>
      <c r="K77" s="294">
        <f t="shared" si="46"/>
        <v>4222.8999999999996</v>
      </c>
      <c r="L77" s="294">
        <f t="shared" si="46"/>
        <v>691</v>
      </c>
      <c r="M77" s="294">
        <f t="shared" si="46"/>
        <v>4222.8999999999996</v>
      </c>
      <c r="N77" s="294">
        <f t="shared" si="46"/>
        <v>3839</v>
      </c>
      <c r="O77" s="294">
        <f t="shared" si="46"/>
        <v>0</v>
      </c>
      <c r="P77" s="294">
        <f t="shared" si="46"/>
        <v>0</v>
      </c>
      <c r="Q77" s="294">
        <f t="shared" si="46"/>
        <v>1366</v>
      </c>
      <c r="R77" s="294">
        <f t="shared" si="46"/>
        <v>1366</v>
      </c>
      <c r="S77" s="294">
        <f t="shared" si="46"/>
        <v>1366</v>
      </c>
      <c r="T77" s="283"/>
      <c r="U77" s="283">
        <f t="shared" si="30"/>
        <v>0</v>
      </c>
      <c r="V77" s="456"/>
      <c r="W77" s="284"/>
      <c r="X77" s="52">
        <f t="shared" si="36"/>
        <v>0</v>
      </c>
      <c r="Y77" s="421"/>
    </row>
    <row r="78" spans="1:26" ht="48.75" customHeight="1">
      <c r="A78" s="425" t="s">
        <v>28</v>
      </c>
      <c r="B78" s="441" t="s">
        <v>107</v>
      </c>
      <c r="C78" s="450" t="s">
        <v>641</v>
      </c>
      <c r="D78" s="433" t="s">
        <v>108</v>
      </c>
      <c r="E78" s="426">
        <v>7993434</v>
      </c>
      <c r="F78" s="434" t="s">
        <v>303</v>
      </c>
      <c r="G78" s="459" t="s">
        <v>93</v>
      </c>
      <c r="H78" s="446" t="s">
        <v>304</v>
      </c>
      <c r="I78" s="21">
        <v>4222.8999999999996</v>
      </c>
      <c r="J78" s="21">
        <v>3839</v>
      </c>
      <c r="K78" s="21">
        <v>4222.8999999999996</v>
      </c>
      <c r="L78" s="21">
        <v>691</v>
      </c>
      <c r="M78" s="21">
        <v>4222.8999999999996</v>
      </c>
      <c r="N78" s="21">
        <v>3839</v>
      </c>
      <c r="O78" s="421"/>
      <c r="P78" s="421"/>
      <c r="Q78" s="21">
        <f>R78</f>
        <v>1366</v>
      </c>
      <c r="R78" s="21">
        <v>1366</v>
      </c>
      <c r="S78" s="21">
        <v>1366</v>
      </c>
      <c r="T78" s="283"/>
      <c r="U78" s="283">
        <f t="shared" si="30"/>
        <v>0</v>
      </c>
      <c r="V78" s="283"/>
      <c r="W78" s="284"/>
      <c r="X78" s="52">
        <f t="shared" si="36"/>
        <v>0</v>
      </c>
      <c r="Y78" s="421"/>
    </row>
    <row r="79" spans="1:26" s="50" customFormat="1" ht="42.75" customHeight="1">
      <c r="A79" s="471" t="s">
        <v>5</v>
      </c>
      <c r="B79" s="472" t="s">
        <v>574</v>
      </c>
      <c r="C79" s="471"/>
      <c r="D79" s="471"/>
      <c r="E79" s="473"/>
      <c r="F79" s="474"/>
      <c r="G79" s="474"/>
      <c r="H79" s="474"/>
      <c r="I79" s="475"/>
      <c r="J79" s="475"/>
      <c r="K79" s="475"/>
      <c r="L79" s="475"/>
      <c r="M79" s="475"/>
      <c r="N79" s="474"/>
      <c r="O79" s="474"/>
      <c r="P79" s="474"/>
      <c r="Q79" s="474"/>
      <c r="R79" s="476">
        <f>R80+R83+R86+R97+R108+R119</f>
        <v>20370.206064000002</v>
      </c>
      <c r="S79" s="476">
        <f t="shared" ref="S79" si="47">S80+S83+S86+S97+S108+S119</f>
        <v>0</v>
      </c>
      <c r="T79" s="476">
        <f>T80+T83+T86+T97+T108+T119</f>
        <v>20370.206064000002</v>
      </c>
      <c r="U79" s="476">
        <f t="shared" ref="U79:Y79" si="48">U80+U83+U86+U97+U108+U119</f>
        <v>5375.0350000000008</v>
      </c>
      <c r="V79" s="475">
        <f t="shared" si="48"/>
        <v>0</v>
      </c>
      <c r="W79" s="477">
        <f>W80+W83+W86+W97+W108+W119</f>
        <v>5375.0350000000008</v>
      </c>
      <c r="X79" s="476">
        <f t="shared" si="36"/>
        <v>26.386748288713829</v>
      </c>
      <c r="Y79" s="476">
        <f t="shared" si="48"/>
        <v>0</v>
      </c>
    </row>
    <row r="80" spans="1:26" s="50" customFormat="1" ht="22.5" customHeight="1">
      <c r="A80" s="78">
        <v>1</v>
      </c>
      <c r="B80" s="73" t="s">
        <v>36</v>
      </c>
      <c r="C80" s="78"/>
      <c r="D80" s="78"/>
      <c r="E80" s="73"/>
      <c r="F80" s="74"/>
      <c r="G80" s="74"/>
      <c r="H80" s="74"/>
      <c r="I80" s="122"/>
      <c r="J80" s="122"/>
      <c r="K80" s="122"/>
      <c r="L80" s="122"/>
      <c r="M80" s="122"/>
      <c r="N80" s="123"/>
      <c r="O80" s="123"/>
      <c r="P80" s="123"/>
      <c r="Q80" s="123"/>
      <c r="R80" s="130">
        <f>T80</f>
        <v>873.50299999999993</v>
      </c>
      <c r="S80" s="124"/>
      <c r="T80" s="122">
        <f>SUM(T81:T82)</f>
        <v>873.50299999999993</v>
      </c>
      <c r="U80" s="122">
        <f t="shared" ref="U80:V80" si="49">SUM(U81:U82)</f>
        <v>14.643000000000001</v>
      </c>
      <c r="V80" s="122">
        <f t="shared" si="49"/>
        <v>0</v>
      </c>
      <c r="W80" s="281">
        <f>SUM(W81:W82)</f>
        <v>14.643000000000001</v>
      </c>
      <c r="X80" s="52">
        <f t="shared" si="36"/>
        <v>1.6763537160147133</v>
      </c>
      <c r="Y80" s="123"/>
    </row>
    <row r="81" spans="1:25" ht="30">
      <c r="A81" s="303" t="s">
        <v>73</v>
      </c>
      <c r="B81" s="81" t="s">
        <v>86</v>
      </c>
      <c r="C81" s="320" t="s">
        <v>66</v>
      </c>
      <c r="D81" s="302" t="s">
        <v>43</v>
      </c>
      <c r="E81" s="84" t="s">
        <v>330</v>
      </c>
      <c r="F81" s="74"/>
      <c r="G81" s="74"/>
      <c r="H81" s="74"/>
      <c r="I81" s="120"/>
      <c r="J81" s="120"/>
      <c r="K81" s="120"/>
      <c r="L81" s="120"/>
      <c r="M81" s="120"/>
      <c r="N81" s="119"/>
      <c r="O81" s="119"/>
      <c r="P81" s="119"/>
      <c r="Q81" s="119"/>
      <c r="R81" s="129">
        <f t="shared" ref="R81:R120" si="50">T81</f>
        <v>589.26199999999994</v>
      </c>
      <c r="S81" s="121"/>
      <c r="T81" s="120">
        <f>Sheet1!H8</f>
        <v>589.26199999999994</v>
      </c>
      <c r="U81" s="120">
        <f>V81+W81</f>
        <v>7.423</v>
      </c>
      <c r="V81" s="120"/>
      <c r="W81" s="129">
        <v>7.423</v>
      </c>
      <c r="X81" s="52">
        <f t="shared" si="36"/>
        <v>1.2597112998971598</v>
      </c>
      <c r="Y81" s="119"/>
    </row>
    <row r="82" spans="1:25" ht="33" customHeight="1">
      <c r="A82" s="303" t="s">
        <v>79</v>
      </c>
      <c r="B82" s="85" t="s">
        <v>88</v>
      </c>
      <c r="C82" s="320"/>
      <c r="D82" s="302" t="s">
        <v>45</v>
      </c>
      <c r="E82" s="84" t="s">
        <v>331</v>
      </c>
      <c r="F82" s="82"/>
      <c r="G82" s="82"/>
      <c r="H82" s="82"/>
      <c r="I82" s="120"/>
      <c r="J82" s="120"/>
      <c r="K82" s="120"/>
      <c r="L82" s="120"/>
      <c r="M82" s="120"/>
      <c r="N82" s="119"/>
      <c r="O82" s="119"/>
      <c r="P82" s="119"/>
      <c r="Q82" s="119"/>
      <c r="R82" s="129">
        <f t="shared" si="50"/>
        <v>284.24099999999999</v>
      </c>
      <c r="S82" s="121"/>
      <c r="T82" s="129">
        <f>Sheet1!H9</f>
        <v>284.24099999999999</v>
      </c>
      <c r="U82" s="129">
        <f>V82+W82</f>
        <v>7.22</v>
      </c>
      <c r="V82" s="120"/>
      <c r="W82" s="129">
        <v>7.22</v>
      </c>
      <c r="X82" s="129">
        <f t="shared" si="36"/>
        <v>2.5400980154164952</v>
      </c>
      <c r="Y82" s="119"/>
    </row>
    <row r="83" spans="1:25" s="50" customFormat="1">
      <c r="A83" s="79">
        <v>2</v>
      </c>
      <c r="B83" s="86" t="s">
        <v>332</v>
      </c>
      <c r="C83" s="78"/>
      <c r="D83" s="78"/>
      <c r="E83" s="73"/>
      <c r="F83" s="74"/>
      <c r="G83" s="74"/>
      <c r="H83" s="74"/>
      <c r="I83" s="122"/>
      <c r="J83" s="122"/>
      <c r="K83" s="122"/>
      <c r="L83" s="122"/>
      <c r="M83" s="122"/>
      <c r="N83" s="123"/>
      <c r="O83" s="123"/>
      <c r="P83" s="123"/>
      <c r="Q83" s="123"/>
      <c r="R83" s="130">
        <f t="shared" si="50"/>
        <v>6241.6959999999999</v>
      </c>
      <c r="S83" s="124"/>
      <c r="T83" s="122">
        <f>T84+T85</f>
        <v>6241.6959999999999</v>
      </c>
      <c r="U83" s="122">
        <f>U84+U85</f>
        <v>132.97</v>
      </c>
      <c r="V83" s="122">
        <f>V84+V85</f>
        <v>0</v>
      </c>
      <c r="W83" s="122">
        <f>W84+W85</f>
        <v>132.97</v>
      </c>
      <c r="X83" s="52">
        <f t="shared" si="36"/>
        <v>2.1303504688469288</v>
      </c>
      <c r="Y83" s="123"/>
    </row>
    <row r="84" spans="1:25" ht="30">
      <c r="A84" s="303" t="s">
        <v>90</v>
      </c>
      <c r="B84" s="85" t="s">
        <v>92</v>
      </c>
      <c r="C84" s="318" t="s">
        <v>66</v>
      </c>
      <c r="D84" s="302" t="s">
        <v>62</v>
      </c>
      <c r="E84" s="84" t="s">
        <v>334</v>
      </c>
      <c r="F84" s="119"/>
      <c r="G84" s="119"/>
      <c r="H84" s="119"/>
      <c r="I84" s="120"/>
      <c r="J84" s="120"/>
      <c r="K84" s="120"/>
      <c r="L84" s="120"/>
      <c r="M84" s="120"/>
      <c r="N84" s="119"/>
      <c r="O84" s="119"/>
      <c r="P84" s="119"/>
      <c r="Q84" s="119"/>
      <c r="R84" s="129">
        <f t="shared" si="50"/>
        <v>5678.1040000000003</v>
      </c>
      <c r="S84" s="121"/>
      <c r="T84" s="120">
        <f>Sheet1!H11</f>
        <v>5678.1040000000003</v>
      </c>
      <c r="U84" s="120">
        <f t="shared" ref="U84:U120" si="51">V84+W84</f>
        <v>0</v>
      </c>
      <c r="V84" s="120"/>
      <c r="W84" s="129"/>
      <c r="X84" s="52">
        <f t="shared" si="36"/>
        <v>0</v>
      </c>
      <c r="Y84" s="119"/>
    </row>
    <row r="85" spans="1:25" ht="30">
      <c r="A85" s="301" t="s">
        <v>91</v>
      </c>
      <c r="B85" s="81" t="s">
        <v>95</v>
      </c>
      <c r="C85" s="319"/>
      <c r="D85" s="301" t="s">
        <v>76</v>
      </c>
      <c r="E85" s="84" t="s">
        <v>335</v>
      </c>
      <c r="F85" s="74"/>
      <c r="G85" s="74"/>
      <c r="H85" s="74"/>
      <c r="I85" s="120"/>
      <c r="J85" s="120"/>
      <c r="K85" s="120"/>
      <c r="L85" s="120"/>
      <c r="M85" s="120"/>
      <c r="N85" s="119"/>
      <c r="O85" s="119"/>
      <c r="P85" s="119"/>
      <c r="Q85" s="119"/>
      <c r="R85" s="129">
        <f t="shared" si="50"/>
        <v>563.5920000000001</v>
      </c>
      <c r="S85" s="121"/>
      <c r="T85" s="120">
        <f>Sheet1!H12</f>
        <v>563.5920000000001</v>
      </c>
      <c r="U85" s="120">
        <f t="shared" si="51"/>
        <v>132.97</v>
      </c>
      <c r="V85" s="120"/>
      <c r="W85" s="129">
        <v>132.97</v>
      </c>
      <c r="X85" s="52">
        <f t="shared" si="36"/>
        <v>23.593308634615106</v>
      </c>
      <c r="Y85" s="119"/>
    </row>
    <row r="86" spans="1:25" s="50" customFormat="1">
      <c r="A86" s="79">
        <v>3</v>
      </c>
      <c r="B86" s="86" t="s">
        <v>32</v>
      </c>
      <c r="C86" s="78"/>
      <c r="D86" s="78"/>
      <c r="E86" s="73"/>
      <c r="F86" s="74"/>
      <c r="G86" s="74"/>
      <c r="H86" s="74"/>
      <c r="I86" s="122"/>
      <c r="J86" s="122"/>
      <c r="K86" s="122"/>
      <c r="L86" s="122"/>
      <c r="M86" s="122"/>
      <c r="N86" s="123"/>
      <c r="O86" s="123"/>
      <c r="P86" s="123"/>
      <c r="Q86" s="123"/>
      <c r="R86" s="130">
        <f t="shared" si="50"/>
        <v>8387.3981160000003</v>
      </c>
      <c r="S86" s="124"/>
      <c r="T86" s="122">
        <f>SUM(T87:T96)</f>
        <v>8387.3981160000003</v>
      </c>
      <c r="U86" s="122">
        <f>SUM(U87:U96)</f>
        <v>4157.8870000000006</v>
      </c>
      <c r="V86" s="122">
        <f t="shared" ref="V86:W86" si="52">SUM(V87:V96)</f>
        <v>0</v>
      </c>
      <c r="W86" s="281">
        <f t="shared" si="52"/>
        <v>4157.8870000000006</v>
      </c>
      <c r="X86" s="52">
        <f t="shared" si="36"/>
        <v>49.57302541855401</v>
      </c>
      <c r="Y86" s="123"/>
    </row>
    <row r="87" spans="1:25" ht="30">
      <c r="A87" s="301" t="s">
        <v>96</v>
      </c>
      <c r="B87" s="81" t="s">
        <v>336</v>
      </c>
      <c r="C87" s="301" t="s">
        <v>41</v>
      </c>
      <c r="D87" s="301" t="s">
        <v>41</v>
      </c>
      <c r="E87" s="303" t="s">
        <v>337</v>
      </c>
      <c r="F87" s="82"/>
      <c r="G87" s="82"/>
      <c r="H87" s="82"/>
      <c r="I87" s="120"/>
      <c r="J87" s="120"/>
      <c r="K87" s="120"/>
      <c r="L87" s="120"/>
      <c r="M87" s="120"/>
      <c r="N87" s="119"/>
      <c r="O87" s="119"/>
      <c r="P87" s="119"/>
      <c r="Q87" s="119"/>
      <c r="R87" s="129">
        <f t="shared" si="50"/>
        <v>947.33450000000016</v>
      </c>
      <c r="S87" s="121"/>
      <c r="T87" s="120">
        <f>Sheet1!H14</f>
        <v>947.33450000000016</v>
      </c>
      <c r="U87" s="120">
        <f t="shared" si="51"/>
        <v>0</v>
      </c>
      <c r="V87" s="120"/>
      <c r="W87" s="129"/>
      <c r="X87" s="52">
        <f t="shared" si="36"/>
        <v>0</v>
      </c>
      <c r="Y87" s="119"/>
    </row>
    <row r="88" spans="1:25" ht="30">
      <c r="A88" s="301" t="s">
        <v>97</v>
      </c>
      <c r="B88" s="81" t="s">
        <v>338</v>
      </c>
      <c r="C88" s="301" t="s">
        <v>62</v>
      </c>
      <c r="D88" s="301" t="s">
        <v>62</v>
      </c>
      <c r="E88" s="303" t="s">
        <v>339</v>
      </c>
      <c r="F88" s="82"/>
      <c r="G88" s="82"/>
      <c r="H88" s="82"/>
      <c r="I88" s="120"/>
      <c r="J88" s="120"/>
      <c r="K88" s="120"/>
      <c r="L88" s="120"/>
      <c r="M88" s="120"/>
      <c r="N88" s="119"/>
      <c r="O88" s="119"/>
      <c r="P88" s="119"/>
      <c r="Q88" s="119"/>
      <c r="R88" s="129">
        <f t="shared" si="50"/>
        <v>956.06899999999996</v>
      </c>
      <c r="S88" s="121"/>
      <c r="T88" s="120">
        <f>Sheet1!H15</f>
        <v>956.06899999999996</v>
      </c>
      <c r="U88" s="120">
        <f t="shared" si="51"/>
        <v>0</v>
      </c>
      <c r="V88" s="120"/>
      <c r="W88" s="129"/>
      <c r="X88" s="52">
        <f t="shared" si="36"/>
        <v>0</v>
      </c>
      <c r="Y88" s="119"/>
    </row>
    <row r="89" spans="1:25" ht="30" customHeight="1">
      <c r="A89" s="301" t="s">
        <v>340</v>
      </c>
      <c r="B89" s="81" t="s">
        <v>341</v>
      </c>
      <c r="C89" s="303" t="s">
        <v>43</v>
      </c>
      <c r="D89" s="301" t="s">
        <v>43</v>
      </c>
      <c r="E89" s="303" t="s">
        <v>342</v>
      </c>
      <c r="F89" s="82"/>
      <c r="G89" s="82"/>
      <c r="H89" s="82"/>
      <c r="I89" s="120"/>
      <c r="J89" s="120"/>
      <c r="K89" s="120"/>
      <c r="L89" s="120"/>
      <c r="M89" s="120"/>
      <c r="N89" s="119"/>
      <c r="O89" s="119"/>
      <c r="P89" s="119"/>
      <c r="Q89" s="119"/>
      <c r="R89" s="129">
        <f t="shared" si="50"/>
        <v>1062.9390000000001</v>
      </c>
      <c r="S89" s="121"/>
      <c r="T89" s="120">
        <f>Sheet1!H16</f>
        <v>1062.9390000000001</v>
      </c>
      <c r="U89" s="120">
        <f t="shared" si="51"/>
        <v>0</v>
      </c>
      <c r="V89" s="120"/>
      <c r="W89" s="129"/>
      <c r="X89" s="52">
        <f t="shared" si="36"/>
        <v>0</v>
      </c>
      <c r="Y89" s="119"/>
    </row>
    <row r="90" spans="1:25" ht="30">
      <c r="A90" s="301" t="s">
        <v>343</v>
      </c>
      <c r="B90" s="81" t="s">
        <v>344</v>
      </c>
      <c r="C90" s="303" t="s">
        <v>51</v>
      </c>
      <c r="D90" s="301" t="s">
        <v>51</v>
      </c>
      <c r="E90" s="303" t="s">
        <v>345</v>
      </c>
      <c r="F90" s="82"/>
      <c r="G90" s="82"/>
      <c r="H90" s="82"/>
      <c r="I90" s="120"/>
      <c r="J90" s="120"/>
      <c r="K90" s="120"/>
      <c r="L90" s="120"/>
      <c r="M90" s="120"/>
      <c r="N90" s="119"/>
      <c r="O90" s="119"/>
      <c r="P90" s="119"/>
      <c r="Q90" s="119"/>
      <c r="R90" s="129">
        <f t="shared" si="50"/>
        <v>1060.6602019999998</v>
      </c>
      <c r="S90" s="121"/>
      <c r="T90" s="120">
        <f>Sheet1!H17</f>
        <v>1060.6602019999998</v>
      </c>
      <c r="U90" s="120">
        <f t="shared" si="51"/>
        <v>0</v>
      </c>
      <c r="V90" s="120"/>
      <c r="W90" s="129"/>
      <c r="X90" s="52">
        <f t="shared" si="36"/>
        <v>0</v>
      </c>
      <c r="Y90" s="119"/>
    </row>
    <row r="91" spans="1:25" ht="30">
      <c r="A91" s="301" t="s">
        <v>346</v>
      </c>
      <c r="B91" s="81" t="s">
        <v>347</v>
      </c>
      <c r="C91" s="303" t="s">
        <v>50</v>
      </c>
      <c r="D91" s="301" t="s">
        <v>50</v>
      </c>
      <c r="E91" s="303" t="s">
        <v>348</v>
      </c>
      <c r="F91" s="82"/>
      <c r="G91" s="82"/>
      <c r="H91" s="82"/>
      <c r="I91" s="120"/>
      <c r="J91" s="120"/>
      <c r="K91" s="120"/>
      <c r="L91" s="120"/>
      <c r="M91" s="120"/>
      <c r="N91" s="119"/>
      <c r="O91" s="119"/>
      <c r="P91" s="119"/>
      <c r="Q91" s="119"/>
      <c r="R91" s="129">
        <f t="shared" si="50"/>
        <v>51.193182999999863</v>
      </c>
      <c r="S91" s="121"/>
      <c r="T91" s="120">
        <f>Sheet1!H18</f>
        <v>51.193182999999863</v>
      </c>
      <c r="U91" s="120">
        <f t="shared" si="51"/>
        <v>0</v>
      </c>
      <c r="V91" s="120"/>
      <c r="W91" s="129"/>
      <c r="X91" s="52">
        <f t="shared" si="36"/>
        <v>0</v>
      </c>
      <c r="Y91" s="119"/>
    </row>
    <row r="92" spans="1:25" ht="30">
      <c r="A92" s="301" t="s">
        <v>349</v>
      </c>
      <c r="B92" s="81" t="s">
        <v>350</v>
      </c>
      <c r="C92" s="303" t="s">
        <v>45</v>
      </c>
      <c r="D92" s="301" t="s">
        <v>45</v>
      </c>
      <c r="E92" s="303" t="s">
        <v>351</v>
      </c>
      <c r="F92" s="82"/>
      <c r="G92" s="82"/>
      <c r="H92" s="82"/>
      <c r="I92" s="120"/>
      <c r="J92" s="120"/>
      <c r="K92" s="120"/>
      <c r="L92" s="120"/>
      <c r="M92" s="120"/>
      <c r="N92" s="119"/>
      <c r="O92" s="119"/>
      <c r="P92" s="119"/>
      <c r="Q92" s="119"/>
      <c r="R92" s="129">
        <f t="shared" si="50"/>
        <v>112.57851100000062</v>
      </c>
      <c r="S92" s="121"/>
      <c r="T92" s="120">
        <f>Sheet1!H19</f>
        <v>112.57851100000062</v>
      </c>
      <c r="U92" s="120">
        <f t="shared" si="51"/>
        <v>96.153999999999996</v>
      </c>
      <c r="V92" s="120"/>
      <c r="W92" s="129">
        <v>96.153999999999996</v>
      </c>
      <c r="X92" s="52">
        <f t="shared" si="36"/>
        <v>85.410616240962241</v>
      </c>
      <c r="Y92" s="119"/>
    </row>
    <row r="93" spans="1:25" ht="27.75" customHeight="1">
      <c r="A93" s="301" t="s">
        <v>352</v>
      </c>
      <c r="B93" s="81" t="s">
        <v>353</v>
      </c>
      <c r="C93" s="303" t="s">
        <v>63</v>
      </c>
      <c r="D93" s="301" t="s">
        <v>63</v>
      </c>
      <c r="E93" s="303" t="s">
        <v>354</v>
      </c>
      <c r="F93" s="82"/>
      <c r="G93" s="82"/>
      <c r="H93" s="82"/>
      <c r="I93" s="120"/>
      <c r="J93" s="120"/>
      <c r="K93" s="120"/>
      <c r="L93" s="120"/>
      <c r="M93" s="120"/>
      <c r="N93" s="119"/>
      <c r="O93" s="119"/>
      <c r="P93" s="119"/>
      <c r="Q93" s="119"/>
      <c r="R93" s="129">
        <f t="shared" si="50"/>
        <v>1041.8610000000001</v>
      </c>
      <c r="S93" s="121"/>
      <c r="T93" s="120">
        <f>Sheet1!H20</f>
        <v>1041.8610000000001</v>
      </c>
      <c r="U93" s="120">
        <f t="shared" si="51"/>
        <v>1041.8610000000001</v>
      </c>
      <c r="V93" s="120"/>
      <c r="W93" s="129">
        <v>1041.8610000000001</v>
      </c>
      <c r="X93" s="52">
        <f t="shared" si="36"/>
        <v>100</v>
      </c>
      <c r="Y93" s="119"/>
    </row>
    <row r="94" spans="1:25" ht="30">
      <c r="A94" s="301" t="s">
        <v>355</v>
      </c>
      <c r="B94" s="81" t="s">
        <v>356</v>
      </c>
      <c r="C94" s="303" t="s">
        <v>61</v>
      </c>
      <c r="D94" s="301" t="s">
        <v>61</v>
      </c>
      <c r="E94" s="303" t="s">
        <v>357</v>
      </c>
      <c r="F94" s="82"/>
      <c r="G94" s="82"/>
      <c r="H94" s="82"/>
      <c r="I94" s="120"/>
      <c r="J94" s="120"/>
      <c r="K94" s="120"/>
      <c r="L94" s="120"/>
      <c r="M94" s="120"/>
      <c r="N94" s="119"/>
      <c r="O94" s="119"/>
      <c r="P94" s="119"/>
      <c r="Q94" s="119"/>
      <c r="R94" s="129">
        <f t="shared" si="50"/>
        <v>983.59600000000023</v>
      </c>
      <c r="S94" s="121"/>
      <c r="T94" s="120">
        <f>Sheet1!H21</f>
        <v>983.59600000000023</v>
      </c>
      <c r="U94" s="120">
        <f t="shared" si="51"/>
        <v>983.6</v>
      </c>
      <c r="V94" s="120"/>
      <c r="W94" s="129">
        <v>983.6</v>
      </c>
      <c r="X94" s="52">
        <f t="shared" si="36"/>
        <v>100.00040667103158</v>
      </c>
      <c r="Y94" s="119"/>
    </row>
    <row r="95" spans="1:25" ht="30">
      <c r="A95" s="301" t="s">
        <v>358</v>
      </c>
      <c r="B95" s="81" t="s">
        <v>359</v>
      </c>
      <c r="C95" s="303" t="s">
        <v>64</v>
      </c>
      <c r="D95" s="301" t="s">
        <v>64</v>
      </c>
      <c r="E95" s="303" t="s">
        <v>360</v>
      </c>
      <c r="F95" s="82"/>
      <c r="G95" s="82"/>
      <c r="H95" s="82"/>
      <c r="I95" s="120"/>
      <c r="J95" s="120"/>
      <c r="K95" s="120"/>
      <c r="L95" s="120"/>
      <c r="M95" s="120"/>
      <c r="N95" s="119"/>
      <c r="O95" s="119"/>
      <c r="P95" s="119"/>
      <c r="Q95" s="119"/>
      <c r="R95" s="129">
        <f t="shared" si="50"/>
        <v>1124.89456</v>
      </c>
      <c r="S95" s="121"/>
      <c r="T95" s="120">
        <f>Sheet1!H22</f>
        <v>1124.89456</v>
      </c>
      <c r="U95" s="120">
        <f t="shared" si="51"/>
        <v>0</v>
      </c>
      <c r="V95" s="120"/>
      <c r="W95" s="129"/>
      <c r="X95" s="52">
        <f t="shared" si="36"/>
        <v>0</v>
      </c>
      <c r="Y95" s="119"/>
    </row>
    <row r="96" spans="1:25" ht="30">
      <c r="A96" s="301" t="s">
        <v>361</v>
      </c>
      <c r="B96" s="81" t="s">
        <v>362</v>
      </c>
      <c r="C96" s="303" t="s">
        <v>65</v>
      </c>
      <c r="D96" s="301" t="s">
        <v>65</v>
      </c>
      <c r="E96" s="303" t="s">
        <v>363</v>
      </c>
      <c r="F96" s="119"/>
      <c r="G96" s="119"/>
      <c r="H96" s="119"/>
      <c r="I96" s="120"/>
      <c r="J96" s="120"/>
      <c r="K96" s="120"/>
      <c r="L96" s="120"/>
      <c r="M96" s="120"/>
      <c r="N96" s="119"/>
      <c r="O96" s="119"/>
      <c r="P96" s="119"/>
      <c r="Q96" s="119"/>
      <c r="R96" s="129">
        <f>T96</f>
        <v>1046.27216</v>
      </c>
      <c r="S96" s="121"/>
      <c r="T96" s="295">
        <f>Sheet1!H23</f>
        <v>1046.27216</v>
      </c>
      <c r="U96" s="120">
        <f>V96+W96</f>
        <v>2036.2719999999999</v>
      </c>
      <c r="V96" s="120"/>
      <c r="W96" s="296">
        <v>2036.2719999999999</v>
      </c>
      <c r="X96" s="52">
        <f t="shared" si="36"/>
        <v>194.62163649656893</v>
      </c>
      <c r="Y96" s="119"/>
    </row>
    <row r="97" spans="1:25" s="50" customFormat="1">
      <c r="A97" s="79">
        <v>4</v>
      </c>
      <c r="B97" s="86" t="s">
        <v>364</v>
      </c>
      <c r="C97" s="78"/>
      <c r="D97" s="78"/>
      <c r="E97" s="73"/>
      <c r="F97" s="74"/>
      <c r="G97" s="74"/>
      <c r="H97" s="74"/>
      <c r="I97" s="122"/>
      <c r="J97" s="122"/>
      <c r="K97" s="122"/>
      <c r="L97" s="122"/>
      <c r="M97" s="122"/>
      <c r="N97" s="123"/>
      <c r="O97" s="123"/>
      <c r="P97" s="123"/>
      <c r="Q97" s="123"/>
      <c r="R97" s="130">
        <f t="shared" si="50"/>
        <v>3418.2290000000003</v>
      </c>
      <c r="S97" s="124"/>
      <c r="T97" s="122">
        <f>SUM(T98:T107)</f>
        <v>3418.2290000000003</v>
      </c>
      <c r="U97" s="122">
        <f>SUM(U98:U107)</f>
        <v>66.585999999999999</v>
      </c>
      <c r="V97" s="122">
        <f t="shared" ref="V97:W97" si="53">SUM(V98:V107)</f>
        <v>0</v>
      </c>
      <c r="W97" s="281">
        <f t="shared" si="53"/>
        <v>66.585999999999999</v>
      </c>
      <c r="X97" s="52">
        <f t="shared" si="36"/>
        <v>1.9479677926786061</v>
      </c>
      <c r="Y97" s="123"/>
    </row>
    <row r="98" spans="1:25" ht="15" customHeight="1">
      <c r="A98" s="303" t="s">
        <v>98</v>
      </c>
      <c r="B98" s="95" t="s">
        <v>366</v>
      </c>
      <c r="C98" s="324" t="s">
        <v>66</v>
      </c>
      <c r="D98" s="302" t="s">
        <v>22</v>
      </c>
      <c r="E98" s="84" t="s">
        <v>367</v>
      </c>
      <c r="F98" s="119"/>
      <c r="G98" s="119"/>
      <c r="H98" s="119"/>
      <c r="I98" s="120"/>
      <c r="J98" s="120"/>
      <c r="K98" s="120"/>
      <c r="L98" s="120"/>
      <c r="M98" s="120"/>
      <c r="N98" s="119"/>
      <c r="O98" s="119"/>
      <c r="P98" s="119"/>
      <c r="Q98" s="119"/>
      <c r="R98" s="129">
        <f t="shared" si="50"/>
        <v>140.559</v>
      </c>
      <c r="S98" s="121"/>
      <c r="T98" s="120">
        <f>Sheet1!H25</f>
        <v>140.559</v>
      </c>
      <c r="U98" s="120">
        <f t="shared" si="51"/>
        <v>0</v>
      </c>
      <c r="V98" s="120"/>
      <c r="W98" s="129"/>
      <c r="X98" s="52">
        <f t="shared" si="36"/>
        <v>0</v>
      </c>
      <c r="Y98" s="119"/>
    </row>
    <row r="99" spans="1:25">
      <c r="A99" s="303" t="s">
        <v>101</v>
      </c>
      <c r="B99" s="95" t="s">
        <v>369</v>
      </c>
      <c r="C99" s="325"/>
      <c r="D99" s="302" t="s">
        <v>21</v>
      </c>
      <c r="E99" s="84" t="s">
        <v>370</v>
      </c>
      <c r="F99" s="119"/>
      <c r="G99" s="119"/>
      <c r="H99" s="119"/>
      <c r="I99" s="120"/>
      <c r="J99" s="120"/>
      <c r="K99" s="120"/>
      <c r="L99" s="120"/>
      <c r="M99" s="120"/>
      <c r="N99" s="119"/>
      <c r="O99" s="119"/>
      <c r="P99" s="119"/>
      <c r="Q99" s="119"/>
      <c r="R99" s="129">
        <f t="shared" si="50"/>
        <v>274.56799999999998</v>
      </c>
      <c r="S99" s="121"/>
      <c r="T99" s="120">
        <f>Sheet1!H26</f>
        <v>274.56799999999998</v>
      </c>
      <c r="U99" s="120">
        <f t="shared" si="51"/>
        <v>0</v>
      </c>
      <c r="V99" s="120"/>
      <c r="W99" s="129"/>
      <c r="X99" s="52">
        <f t="shared" si="36"/>
        <v>0</v>
      </c>
      <c r="Y99" s="119"/>
    </row>
    <row r="100" spans="1:25">
      <c r="A100" s="303" t="s">
        <v>102</v>
      </c>
      <c r="B100" s="95" t="s">
        <v>372</v>
      </c>
      <c r="C100" s="325"/>
      <c r="D100" s="302" t="s">
        <v>100</v>
      </c>
      <c r="E100" s="84" t="s">
        <v>373</v>
      </c>
      <c r="F100" s="119"/>
      <c r="G100" s="119"/>
      <c r="H100" s="119"/>
      <c r="I100" s="120"/>
      <c r="J100" s="120"/>
      <c r="K100" s="120"/>
      <c r="L100" s="120"/>
      <c r="M100" s="120"/>
      <c r="N100" s="119"/>
      <c r="O100" s="119"/>
      <c r="P100" s="119"/>
      <c r="Q100" s="119"/>
      <c r="R100" s="129">
        <f t="shared" si="50"/>
        <v>286.221</v>
      </c>
      <c r="S100" s="121"/>
      <c r="T100" s="120">
        <f>Sheet1!H27</f>
        <v>286.221</v>
      </c>
      <c r="U100" s="120">
        <f t="shared" si="51"/>
        <v>0</v>
      </c>
      <c r="V100" s="120"/>
      <c r="W100" s="129"/>
      <c r="X100" s="52">
        <f t="shared" si="36"/>
        <v>0</v>
      </c>
      <c r="Y100" s="119"/>
    </row>
    <row r="101" spans="1:25">
      <c r="A101" s="303" t="s">
        <v>103</v>
      </c>
      <c r="B101" s="95" t="s">
        <v>375</v>
      </c>
      <c r="C101" s="325"/>
      <c r="D101" s="302" t="s">
        <v>18</v>
      </c>
      <c r="E101" s="84" t="s">
        <v>376</v>
      </c>
      <c r="F101" s="119"/>
      <c r="G101" s="119"/>
      <c r="H101" s="119"/>
      <c r="I101" s="120"/>
      <c r="J101" s="120"/>
      <c r="K101" s="120"/>
      <c r="L101" s="120"/>
      <c r="M101" s="120"/>
      <c r="N101" s="119"/>
      <c r="O101" s="119"/>
      <c r="P101" s="119"/>
      <c r="Q101" s="119"/>
      <c r="R101" s="129">
        <f t="shared" si="50"/>
        <v>64.825000000000045</v>
      </c>
      <c r="S101" s="121"/>
      <c r="T101" s="120">
        <f>Sheet1!H28</f>
        <v>64.825000000000045</v>
      </c>
      <c r="U101" s="120">
        <f t="shared" si="51"/>
        <v>46.826000000000001</v>
      </c>
      <c r="V101" s="120"/>
      <c r="W101" s="129">
        <v>46.826000000000001</v>
      </c>
      <c r="X101" s="52">
        <f t="shared" si="36"/>
        <v>72.234477439259493</v>
      </c>
      <c r="Y101" s="119"/>
    </row>
    <row r="102" spans="1:25">
      <c r="A102" s="303" t="s">
        <v>263</v>
      </c>
      <c r="B102" s="95" t="s">
        <v>378</v>
      </c>
      <c r="C102" s="325"/>
      <c r="D102" s="302" t="s">
        <v>21</v>
      </c>
      <c r="E102" s="84" t="s">
        <v>379</v>
      </c>
      <c r="F102" s="119"/>
      <c r="G102" s="119"/>
      <c r="H102" s="119"/>
      <c r="I102" s="120"/>
      <c r="J102" s="120"/>
      <c r="K102" s="120"/>
      <c r="L102" s="120"/>
      <c r="M102" s="120"/>
      <c r="N102" s="119"/>
      <c r="O102" s="119"/>
      <c r="P102" s="119"/>
      <c r="Q102" s="119"/>
      <c r="R102" s="129">
        <f t="shared" si="50"/>
        <v>447.65300000000002</v>
      </c>
      <c r="S102" s="121"/>
      <c r="T102" s="120">
        <f>Sheet1!H29</f>
        <v>447.65300000000002</v>
      </c>
      <c r="U102" s="120">
        <f t="shared" si="51"/>
        <v>0</v>
      </c>
      <c r="V102" s="120"/>
      <c r="W102" s="129"/>
      <c r="X102" s="52">
        <f t="shared" si="36"/>
        <v>0</v>
      </c>
      <c r="Y102" s="119"/>
    </row>
    <row r="103" spans="1:25">
      <c r="A103" s="303" t="s">
        <v>267</v>
      </c>
      <c r="B103" s="95" t="s">
        <v>381</v>
      </c>
      <c r="C103" s="325"/>
      <c r="D103" s="302" t="s">
        <v>99</v>
      </c>
      <c r="E103" s="84" t="s">
        <v>382</v>
      </c>
      <c r="F103" s="119"/>
      <c r="G103" s="119"/>
      <c r="H103" s="119"/>
      <c r="I103" s="120"/>
      <c r="J103" s="120"/>
      <c r="K103" s="120"/>
      <c r="L103" s="120"/>
      <c r="M103" s="120"/>
      <c r="N103" s="119"/>
      <c r="O103" s="119"/>
      <c r="P103" s="119"/>
      <c r="Q103" s="119"/>
      <c r="R103" s="129">
        <f t="shared" si="50"/>
        <v>447.50299999999999</v>
      </c>
      <c r="S103" s="121"/>
      <c r="T103" s="120">
        <f>Sheet1!H30</f>
        <v>447.50299999999999</v>
      </c>
      <c r="U103" s="120">
        <f t="shared" si="51"/>
        <v>0</v>
      </c>
      <c r="V103" s="120"/>
      <c r="W103" s="129"/>
      <c r="X103" s="52">
        <f t="shared" si="36"/>
        <v>0</v>
      </c>
      <c r="Y103" s="119"/>
    </row>
    <row r="104" spans="1:25">
      <c r="A104" s="303" t="s">
        <v>270</v>
      </c>
      <c r="B104" s="95" t="s">
        <v>384</v>
      </c>
      <c r="C104" s="325"/>
      <c r="D104" s="302" t="s">
        <v>22</v>
      </c>
      <c r="E104" s="84" t="s">
        <v>385</v>
      </c>
      <c r="F104" s="119"/>
      <c r="G104" s="119"/>
      <c r="H104" s="119"/>
      <c r="I104" s="120"/>
      <c r="J104" s="120"/>
      <c r="K104" s="120"/>
      <c r="L104" s="120"/>
      <c r="M104" s="120"/>
      <c r="N104" s="119"/>
      <c r="O104" s="119"/>
      <c r="P104" s="119"/>
      <c r="Q104" s="119"/>
      <c r="R104" s="129">
        <f t="shared" si="50"/>
        <v>6.6779999999999973</v>
      </c>
      <c r="S104" s="121"/>
      <c r="T104" s="120">
        <f>Sheet1!H31</f>
        <v>6.6779999999999973</v>
      </c>
      <c r="U104" s="120">
        <f t="shared" si="51"/>
        <v>0</v>
      </c>
      <c r="V104" s="120"/>
      <c r="W104" s="129"/>
      <c r="X104" s="52">
        <f t="shared" si="36"/>
        <v>0</v>
      </c>
      <c r="Y104" s="119"/>
    </row>
    <row r="105" spans="1:25">
      <c r="A105" s="303" t="s">
        <v>575</v>
      </c>
      <c r="B105" s="85" t="s">
        <v>372</v>
      </c>
      <c r="C105" s="325"/>
      <c r="D105" s="301" t="s">
        <v>100</v>
      </c>
      <c r="E105" s="303" t="s">
        <v>387</v>
      </c>
      <c r="F105" s="119"/>
      <c r="G105" s="119"/>
      <c r="H105" s="119"/>
      <c r="I105" s="120"/>
      <c r="J105" s="120"/>
      <c r="K105" s="120"/>
      <c r="L105" s="120"/>
      <c r="M105" s="120"/>
      <c r="N105" s="119"/>
      <c r="O105" s="119"/>
      <c r="P105" s="119"/>
      <c r="Q105" s="119"/>
      <c r="R105" s="129">
        <f t="shared" si="50"/>
        <v>447.59899999999999</v>
      </c>
      <c r="S105" s="121"/>
      <c r="T105" s="120">
        <f>Sheet1!H32</f>
        <v>447.59899999999999</v>
      </c>
      <c r="U105" s="120">
        <f t="shared" si="51"/>
        <v>0</v>
      </c>
      <c r="V105" s="120"/>
      <c r="W105" s="129"/>
      <c r="X105" s="52">
        <f t="shared" si="36"/>
        <v>0</v>
      </c>
      <c r="Y105" s="119"/>
    </row>
    <row r="106" spans="1:25">
      <c r="A106" s="303" t="s">
        <v>576</v>
      </c>
      <c r="B106" s="85" t="s">
        <v>389</v>
      </c>
      <c r="C106" s="325"/>
      <c r="D106" s="301" t="s">
        <v>20</v>
      </c>
      <c r="E106" s="303" t="s">
        <v>390</v>
      </c>
      <c r="F106" s="119"/>
      <c r="G106" s="119"/>
      <c r="H106" s="119"/>
      <c r="I106" s="120"/>
      <c r="J106" s="120"/>
      <c r="K106" s="120"/>
      <c r="L106" s="120"/>
      <c r="M106" s="120"/>
      <c r="N106" s="119"/>
      <c r="O106" s="119"/>
      <c r="P106" s="119"/>
      <c r="Q106" s="119"/>
      <c r="R106" s="129">
        <f t="shared" si="50"/>
        <v>447.46899999999999</v>
      </c>
      <c r="S106" s="121"/>
      <c r="T106" s="120">
        <f>Sheet1!H33</f>
        <v>447.46899999999999</v>
      </c>
      <c r="U106" s="120">
        <f t="shared" si="51"/>
        <v>0</v>
      </c>
      <c r="V106" s="120"/>
      <c r="W106" s="129"/>
      <c r="X106" s="52">
        <f t="shared" si="36"/>
        <v>0</v>
      </c>
      <c r="Y106" s="119"/>
    </row>
    <row r="107" spans="1:25">
      <c r="A107" s="303" t="s">
        <v>577</v>
      </c>
      <c r="B107" s="85" t="s">
        <v>392</v>
      </c>
      <c r="C107" s="326"/>
      <c r="D107" s="301" t="s">
        <v>18</v>
      </c>
      <c r="E107" s="303" t="s">
        <v>393</v>
      </c>
      <c r="F107" s="119"/>
      <c r="G107" s="119"/>
      <c r="H107" s="119"/>
      <c r="I107" s="120"/>
      <c r="J107" s="120"/>
      <c r="K107" s="120"/>
      <c r="L107" s="120"/>
      <c r="M107" s="120"/>
      <c r="N107" s="119"/>
      <c r="O107" s="119"/>
      <c r="P107" s="119"/>
      <c r="Q107" s="119"/>
      <c r="R107" s="129">
        <f t="shared" si="50"/>
        <v>855.154</v>
      </c>
      <c r="S107" s="121"/>
      <c r="T107" s="120">
        <f>Sheet1!H34</f>
        <v>855.154</v>
      </c>
      <c r="U107" s="120">
        <f t="shared" si="51"/>
        <v>19.760000000000002</v>
      </c>
      <c r="V107" s="120"/>
      <c r="W107" s="129">
        <v>19.760000000000002</v>
      </c>
      <c r="X107" s="52">
        <f t="shared" si="36"/>
        <v>2.3106949157695573</v>
      </c>
      <c r="Y107" s="119"/>
    </row>
    <row r="108" spans="1:25" s="50" customFormat="1">
      <c r="A108" s="79">
        <v>5</v>
      </c>
      <c r="B108" s="86" t="s">
        <v>37</v>
      </c>
      <c r="C108" s="78"/>
      <c r="D108" s="78"/>
      <c r="E108" s="73"/>
      <c r="F108" s="74"/>
      <c r="G108" s="74"/>
      <c r="H108" s="74"/>
      <c r="I108" s="122"/>
      <c r="J108" s="122"/>
      <c r="K108" s="122"/>
      <c r="L108" s="122"/>
      <c r="M108" s="122"/>
      <c r="N108" s="123"/>
      <c r="O108" s="123"/>
      <c r="P108" s="123"/>
      <c r="Q108" s="123"/>
      <c r="R108" s="130">
        <f t="shared" si="50"/>
        <v>1315.0280000000002</v>
      </c>
      <c r="S108" s="124"/>
      <c r="T108" s="122">
        <f>T109</f>
        <v>1315.0280000000002</v>
      </c>
      <c r="U108" s="122">
        <f t="shared" ref="U108:W108" si="54">U109</f>
        <v>1002.949</v>
      </c>
      <c r="V108" s="122">
        <f t="shared" si="54"/>
        <v>0</v>
      </c>
      <c r="W108" s="281">
        <f t="shared" si="54"/>
        <v>1002.949</v>
      </c>
      <c r="X108" s="52">
        <f t="shared" si="36"/>
        <v>76.268261968566435</v>
      </c>
      <c r="Y108" s="123"/>
    </row>
    <row r="109" spans="1:25" s="50" customFormat="1">
      <c r="A109" s="79"/>
      <c r="B109" s="86" t="s">
        <v>106</v>
      </c>
      <c r="C109" s="78"/>
      <c r="D109" s="78"/>
      <c r="E109" s="73"/>
      <c r="F109" s="74"/>
      <c r="G109" s="74"/>
      <c r="H109" s="74"/>
      <c r="I109" s="122"/>
      <c r="J109" s="122"/>
      <c r="K109" s="122"/>
      <c r="L109" s="122"/>
      <c r="M109" s="122"/>
      <c r="N109" s="123"/>
      <c r="O109" s="123"/>
      <c r="P109" s="123"/>
      <c r="Q109" s="123"/>
      <c r="R109" s="130">
        <f t="shared" si="50"/>
        <v>1315.0280000000002</v>
      </c>
      <c r="S109" s="124"/>
      <c r="T109" s="122">
        <f>SUM(T110:T118)</f>
        <v>1315.0280000000002</v>
      </c>
      <c r="U109" s="122">
        <f t="shared" ref="U109:W109" si="55">SUM(U110:U118)</f>
        <v>1002.949</v>
      </c>
      <c r="V109" s="122">
        <f t="shared" si="55"/>
        <v>0</v>
      </c>
      <c r="W109" s="281">
        <f t="shared" si="55"/>
        <v>1002.949</v>
      </c>
      <c r="X109" s="52">
        <f t="shared" si="36"/>
        <v>76.268261968566435</v>
      </c>
      <c r="Y109" s="123"/>
    </row>
    <row r="110" spans="1:25">
      <c r="A110" s="303" t="s">
        <v>104</v>
      </c>
      <c r="B110" s="85" t="s">
        <v>395</v>
      </c>
      <c r="C110" s="321" t="s">
        <v>396</v>
      </c>
      <c r="D110" s="301" t="s">
        <v>23</v>
      </c>
      <c r="E110" s="98" t="s">
        <v>397</v>
      </c>
      <c r="F110" s="119"/>
      <c r="G110" s="119"/>
      <c r="H110" s="119"/>
      <c r="I110" s="120"/>
      <c r="J110" s="120"/>
      <c r="K110" s="120"/>
      <c r="L110" s="120"/>
      <c r="M110" s="120"/>
      <c r="N110" s="119"/>
      <c r="O110" s="119"/>
      <c r="P110" s="119"/>
      <c r="Q110" s="119"/>
      <c r="R110" s="129">
        <f t="shared" si="50"/>
        <v>161.892</v>
      </c>
      <c r="S110" s="121"/>
      <c r="T110" s="120">
        <f>Sheet1!H37</f>
        <v>161.892</v>
      </c>
      <c r="U110" s="120">
        <f t="shared" si="51"/>
        <v>133.12700000000001</v>
      </c>
      <c r="V110" s="120"/>
      <c r="W110" s="460">
        <v>133.12700000000001</v>
      </c>
      <c r="X110" s="52">
        <f>U110/R110*100</f>
        <v>82.231981815037187</v>
      </c>
      <c r="Y110" s="119"/>
    </row>
    <row r="111" spans="1:25">
      <c r="A111" s="303" t="s">
        <v>276</v>
      </c>
      <c r="B111" s="85" t="s">
        <v>399</v>
      </c>
      <c r="C111" s="321"/>
      <c r="D111" s="301" t="s">
        <v>20</v>
      </c>
      <c r="E111" s="98" t="s">
        <v>400</v>
      </c>
      <c r="F111" s="119"/>
      <c r="G111" s="119"/>
      <c r="H111" s="119"/>
      <c r="I111" s="120"/>
      <c r="J111" s="120"/>
      <c r="K111" s="120"/>
      <c r="L111" s="120"/>
      <c r="M111" s="120"/>
      <c r="N111" s="119"/>
      <c r="O111" s="119"/>
      <c r="P111" s="119"/>
      <c r="Q111" s="119"/>
      <c r="R111" s="129">
        <f t="shared" si="50"/>
        <v>161.892</v>
      </c>
      <c r="S111" s="121"/>
      <c r="T111" s="120">
        <f>Sheet1!H38</f>
        <v>161.892</v>
      </c>
      <c r="U111" s="120">
        <f t="shared" si="51"/>
        <v>124.327</v>
      </c>
      <c r="V111" s="120"/>
      <c r="W111" s="460">
        <v>124.327</v>
      </c>
      <c r="X111" s="52">
        <f t="shared" si="36"/>
        <v>76.796259234551428</v>
      </c>
      <c r="Y111" s="119"/>
    </row>
    <row r="112" spans="1:25">
      <c r="A112" s="303" t="s">
        <v>578</v>
      </c>
      <c r="B112" s="85" t="s">
        <v>402</v>
      </c>
      <c r="C112" s="321"/>
      <c r="D112" s="301" t="s">
        <v>20</v>
      </c>
      <c r="E112" s="98" t="s">
        <v>403</v>
      </c>
      <c r="F112" s="119"/>
      <c r="G112" s="119"/>
      <c r="H112" s="119"/>
      <c r="I112" s="120"/>
      <c r="J112" s="120"/>
      <c r="K112" s="120"/>
      <c r="L112" s="120"/>
      <c r="M112" s="120"/>
      <c r="N112" s="119"/>
      <c r="O112" s="119"/>
      <c r="P112" s="119"/>
      <c r="Q112" s="119"/>
      <c r="R112" s="129">
        <f t="shared" si="50"/>
        <v>161.892</v>
      </c>
      <c r="S112" s="121"/>
      <c r="T112" s="120">
        <f>Sheet1!H39</f>
        <v>161.892</v>
      </c>
      <c r="U112" s="120">
        <f t="shared" si="51"/>
        <v>123.527</v>
      </c>
      <c r="V112" s="120"/>
      <c r="W112" s="460">
        <v>123.527</v>
      </c>
      <c r="X112" s="52">
        <f t="shared" si="36"/>
        <v>76.302102636325458</v>
      </c>
      <c r="Y112" s="119"/>
    </row>
    <row r="113" spans="1:25">
      <c r="A113" s="303" t="s">
        <v>579</v>
      </c>
      <c r="B113" s="85" t="s">
        <v>405</v>
      </c>
      <c r="C113" s="321"/>
      <c r="D113" s="301" t="s">
        <v>19</v>
      </c>
      <c r="E113" s="98" t="s">
        <v>406</v>
      </c>
      <c r="F113" s="119"/>
      <c r="G113" s="119"/>
      <c r="H113" s="119"/>
      <c r="I113" s="120"/>
      <c r="J113" s="120"/>
      <c r="K113" s="120"/>
      <c r="L113" s="120"/>
      <c r="M113" s="120"/>
      <c r="N113" s="119"/>
      <c r="O113" s="119"/>
      <c r="P113" s="119"/>
      <c r="Q113" s="119"/>
      <c r="R113" s="129">
        <f t="shared" si="50"/>
        <v>161.892</v>
      </c>
      <c r="S113" s="121"/>
      <c r="T113" s="120">
        <f>Sheet1!H40</f>
        <v>161.892</v>
      </c>
      <c r="U113" s="120">
        <f t="shared" si="51"/>
        <v>94.388000000000005</v>
      </c>
      <c r="V113" s="120"/>
      <c r="W113" s="460">
        <v>94.388000000000005</v>
      </c>
      <c r="X113" s="52">
        <f t="shared" si="36"/>
        <v>58.303066241691994</v>
      </c>
      <c r="Y113" s="119"/>
    </row>
    <row r="114" spans="1:25">
      <c r="A114" s="303" t="s">
        <v>580</v>
      </c>
      <c r="B114" s="85" t="s">
        <v>408</v>
      </c>
      <c r="C114" s="321"/>
      <c r="D114" s="301" t="s">
        <v>21</v>
      </c>
      <c r="E114" s="98" t="s">
        <v>409</v>
      </c>
      <c r="F114" s="119"/>
      <c r="G114" s="119"/>
      <c r="H114" s="119"/>
      <c r="I114" s="120"/>
      <c r="J114" s="120"/>
      <c r="K114" s="120"/>
      <c r="L114" s="120"/>
      <c r="M114" s="120"/>
      <c r="N114" s="119"/>
      <c r="O114" s="119"/>
      <c r="P114" s="119"/>
      <c r="Q114" s="119"/>
      <c r="R114" s="129">
        <f t="shared" si="50"/>
        <v>161.892</v>
      </c>
      <c r="S114" s="121"/>
      <c r="T114" s="120">
        <f>Sheet1!H41</f>
        <v>161.892</v>
      </c>
      <c r="U114" s="120">
        <f t="shared" si="51"/>
        <v>94.703999999999994</v>
      </c>
      <c r="V114" s="120"/>
      <c r="W114" s="460">
        <v>94.703999999999994</v>
      </c>
      <c r="X114" s="52">
        <f t="shared" si="36"/>
        <v>58.498258097991254</v>
      </c>
      <c r="Y114" s="119"/>
    </row>
    <row r="115" spans="1:25">
      <c r="A115" s="303" t="s">
        <v>581</v>
      </c>
      <c r="B115" s="85" t="s">
        <v>411</v>
      </c>
      <c r="C115" s="321"/>
      <c r="D115" s="301" t="s">
        <v>17</v>
      </c>
      <c r="E115" s="98" t="s">
        <v>412</v>
      </c>
      <c r="F115" s="119"/>
      <c r="G115" s="119"/>
      <c r="H115" s="119"/>
      <c r="I115" s="120"/>
      <c r="J115" s="120"/>
      <c r="K115" s="120"/>
      <c r="L115" s="120"/>
      <c r="M115" s="120"/>
      <c r="N115" s="119"/>
      <c r="O115" s="119"/>
      <c r="P115" s="119"/>
      <c r="Q115" s="119"/>
      <c r="R115" s="129">
        <f t="shared" si="50"/>
        <v>161.892</v>
      </c>
      <c r="S115" s="121"/>
      <c r="T115" s="120">
        <f>Sheet1!H42</f>
        <v>161.892</v>
      </c>
      <c r="U115" s="120">
        <f t="shared" si="51"/>
        <v>144.316</v>
      </c>
      <c r="V115" s="120"/>
      <c r="W115" s="460">
        <v>144.316</v>
      </c>
      <c r="X115" s="52">
        <f t="shared" si="36"/>
        <v>89.143379536975274</v>
      </c>
      <c r="Y115" s="119"/>
    </row>
    <row r="116" spans="1:25">
      <c r="A116" s="303" t="s">
        <v>582</v>
      </c>
      <c r="B116" s="85" t="s">
        <v>414</v>
      </c>
      <c r="C116" s="321"/>
      <c r="D116" s="301" t="s">
        <v>100</v>
      </c>
      <c r="E116" s="303" t="s">
        <v>415</v>
      </c>
      <c r="F116" s="119"/>
      <c r="G116" s="119"/>
      <c r="H116" s="119"/>
      <c r="I116" s="120"/>
      <c r="J116" s="120"/>
      <c r="K116" s="120"/>
      <c r="L116" s="120"/>
      <c r="M116" s="120"/>
      <c r="N116" s="119"/>
      <c r="O116" s="119"/>
      <c r="P116" s="119"/>
      <c r="Q116" s="119"/>
      <c r="R116" s="129">
        <f t="shared" si="50"/>
        <v>161.892</v>
      </c>
      <c r="S116" s="121"/>
      <c r="T116" s="120">
        <f>Sheet1!H43</f>
        <v>161.892</v>
      </c>
      <c r="U116" s="120">
        <f t="shared" si="51"/>
        <v>146.78</v>
      </c>
      <c r="V116" s="120"/>
      <c r="W116" s="460">
        <v>146.78</v>
      </c>
      <c r="X116" s="52">
        <f t="shared" si="36"/>
        <v>90.665381859511285</v>
      </c>
      <c r="Y116" s="119"/>
    </row>
    <row r="117" spans="1:25">
      <c r="A117" s="303" t="s">
        <v>583</v>
      </c>
      <c r="B117" s="85" t="s">
        <v>417</v>
      </c>
      <c r="C117" s="321"/>
      <c r="D117" s="301" t="s">
        <v>100</v>
      </c>
      <c r="E117" s="303" t="s">
        <v>418</v>
      </c>
      <c r="F117" s="119"/>
      <c r="G117" s="119"/>
      <c r="H117" s="119"/>
      <c r="I117" s="120"/>
      <c r="J117" s="120"/>
      <c r="K117" s="120"/>
      <c r="L117" s="120"/>
      <c r="M117" s="120"/>
      <c r="N117" s="119"/>
      <c r="O117" s="119"/>
      <c r="P117" s="119"/>
      <c r="Q117" s="119"/>
      <c r="R117" s="129">
        <f t="shared" si="50"/>
        <v>90.891999999999996</v>
      </c>
      <c r="S117" s="121"/>
      <c r="T117" s="120">
        <f>Sheet1!H44</f>
        <v>90.891999999999996</v>
      </c>
      <c r="U117" s="120">
        <f t="shared" si="51"/>
        <v>75.78</v>
      </c>
      <c r="V117" s="120"/>
      <c r="W117" s="460">
        <v>75.78</v>
      </c>
      <c r="X117" s="52">
        <f t="shared" si="36"/>
        <v>83.373674250759137</v>
      </c>
      <c r="Y117" s="119"/>
    </row>
    <row r="118" spans="1:25">
      <c r="A118" s="303" t="s">
        <v>584</v>
      </c>
      <c r="B118" s="85" t="s">
        <v>420</v>
      </c>
      <c r="C118" s="321"/>
      <c r="D118" s="301" t="s">
        <v>16</v>
      </c>
      <c r="E118" s="303" t="s">
        <v>421</v>
      </c>
      <c r="F118" s="119"/>
      <c r="G118" s="119"/>
      <c r="H118" s="119"/>
      <c r="I118" s="120"/>
      <c r="J118" s="120"/>
      <c r="K118" s="120"/>
      <c r="L118" s="120"/>
      <c r="M118" s="120"/>
      <c r="N118" s="119"/>
      <c r="O118" s="119"/>
      <c r="P118" s="119"/>
      <c r="Q118" s="119"/>
      <c r="R118" s="129">
        <f t="shared" si="50"/>
        <v>90.891999999999996</v>
      </c>
      <c r="S118" s="121"/>
      <c r="T118" s="120">
        <f>Sheet1!H45</f>
        <v>90.891999999999996</v>
      </c>
      <c r="U118" s="120">
        <f t="shared" si="51"/>
        <v>66</v>
      </c>
      <c r="V118" s="120"/>
      <c r="W118" s="460">
        <v>66</v>
      </c>
      <c r="X118" s="52">
        <f t="shared" si="36"/>
        <v>72.613651366456907</v>
      </c>
      <c r="Y118" s="119"/>
    </row>
    <row r="119" spans="1:25" s="50" customFormat="1">
      <c r="A119" s="79">
        <v>6</v>
      </c>
      <c r="B119" s="86" t="s">
        <v>38</v>
      </c>
      <c r="C119" s="78"/>
      <c r="D119" s="78"/>
      <c r="E119" s="73"/>
      <c r="F119" s="74"/>
      <c r="G119" s="74"/>
      <c r="H119" s="74"/>
      <c r="I119" s="122"/>
      <c r="J119" s="122"/>
      <c r="K119" s="122"/>
      <c r="L119" s="122"/>
      <c r="M119" s="122"/>
      <c r="N119" s="123"/>
      <c r="O119" s="123"/>
      <c r="P119" s="123"/>
      <c r="Q119" s="123"/>
      <c r="R119" s="130">
        <f t="shared" si="50"/>
        <v>134.35194799999999</v>
      </c>
      <c r="S119" s="124"/>
      <c r="T119" s="122">
        <f>Sheet1!H46</f>
        <v>134.35194799999999</v>
      </c>
      <c r="U119" s="120">
        <f t="shared" si="51"/>
        <v>0</v>
      </c>
      <c r="V119" s="122"/>
      <c r="W119" s="130"/>
      <c r="X119" s="52">
        <f t="shared" ref="X119:X120" si="56">U119/R119*100</f>
        <v>0</v>
      </c>
      <c r="Y119" s="123"/>
    </row>
    <row r="120" spans="1:25" ht="30">
      <c r="A120" s="303" t="s">
        <v>28</v>
      </c>
      <c r="B120" s="85" t="s">
        <v>107</v>
      </c>
      <c r="C120" s="303" t="s">
        <v>396</v>
      </c>
      <c r="D120" s="301" t="s">
        <v>108</v>
      </c>
      <c r="E120" s="98" t="s">
        <v>422</v>
      </c>
      <c r="F120" s="119"/>
      <c r="G120" s="119"/>
      <c r="H120" s="119"/>
      <c r="I120" s="120"/>
      <c r="J120" s="120"/>
      <c r="K120" s="120"/>
      <c r="L120" s="120"/>
      <c r="M120" s="120"/>
      <c r="N120" s="119"/>
      <c r="O120" s="119"/>
      <c r="P120" s="119"/>
      <c r="Q120" s="119"/>
      <c r="R120" s="129">
        <f t="shared" si="50"/>
        <v>134.35194799999999</v>
      </c>
      <c r="S120" s="121"/>
      <c r="T120" s="120">
        <f>Sheet1!H47</f>
        <v>134.35194799999999</v>
      </c>
      <c r="U120" s="120">
        <f t="shared" si="51"/>
        <v>0</v>
      </c>
      <c r="V120" s="120"/>
      <c r="W120" s="129"/>
      <c r="X120" s="52">
        <f t="shared" si="56"/>
        <v>0</v>
      </c>
      <c r="Y120" s="119"/>
    </row>
  </sheetData>
  <mergeCells count="40">
    <mergeCell ref="X1:Y1"/>
    <mergeCell ref="C98:C107"/>
    <mergeCell ref="C84:C85"/>
    <mergeCell ref="C81:C82"/>
    <mergeCell ref="C110:C118"/>
    <mergeCell ref="C71:C76"/>
    <mergeCell ref="C56:C62"/>
    <mergeCell ref="C37:C38"/>
    <mergeCell ref="C31:C32"/>
    <mergeCell ref="C34:C35"/>
    <mergeCell ref="C68:C69"/>
    <mergeCell ref="Q7:Q8"/>
    <mergeCell ref="A5:A8"/>
    <mergeCell ref="B5:B8"/>
    <mergeCell ref="C5:C8"/>
    <mergeCell ref="D5:D8"/>
    <mergeCell ref="E5:E8"/>
    <mergeCell ref="I7:I8"/>
    <mergeCell ref="M5:P6"/>
    <mergeCell ref="M7:M8"/>
    <mergeCell ref="N7:N8"/>
    <mergeCell ref="K7:K8"/>
    <mergeCell ref="L7:L8"/>
    <mergeCell ref="O7:P7"/>
    <mergeCell ref="A2:Y2"/>
    <mergeCell ref="X5:X8"/>
    <mergeCell ref="S7:T7"/>
    <mergeCell ref="U7:U8"/>
    <mergeCell ref="J7:J8"/>
    <mergeCell ref="V7:W7"/>
    <mergeCell ref="F5:F8"/>
    <mergeCell ref="G5:G8"/>
    <mergeCell ref="H5:J5"/>
    <mergeCell ref="K5:L6"/>
    <mergeCell ref="R7:R8"/>
    <mergeCell ref="R5:T6"/>
    <mergeCell ref="U5:W6"/>
    <mergeCell ref="Y5:Y8"/>
    <mergeCell ref="H6:H8"/>
    <mergeCell ref="I6:J6"/>
  </mergeCells>
  <phoneticPr fontId="266" type="noConversion"/>
  <pageMargins left="0.45" right="0.45" top="0.39" bottom="0.42" header="0.3" footer="0.3"/>
  <pageSetup paperSize="9" scale="58"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abSelected="1" topLeftCell="A4" workbookViewId="0">
      <selection activeCell="G9" sqref="G9"/>
    </sheetView>
  </sheetViews>
  <sheetFormatPr defaultColWidth="9.28515625" defaultRowHeight="15"/>
  <cols>
    <col min="1" max="1" width="10.28515625" style="25" customWidth="1"/>
    <col min="2" max="2" width="39" style="25" customWidth="1"/>
    <col min="3" max="3" width="17.42578125" style="49" customWidth="1"/>
    <col min="4" max="4" width="15.28515625" style="61" customWidth="1"/>
    <col min="5" max="5" width="10.5703125" style="61" customWidth="1"/>
    <col min="6" max="6" width="11.85546875" style="61" customWidth="1"/>
    <col min="7" max="7" width="10.5703125" style="61" customWidth="1"/>
    <col min="8" max="8" width="12.42578125" style="44" customWidth="1"/>
    <col min="9" max="9" width="14.42578125" style="44" customWidth="1"/>
    <col min="10" max="10" width="10.140625" style="279" customWidth="1"/>
    <col min="11" max="11" width="16.42578125" style="25" customWidth="1"/>
    <col min="12" max="16384" width="9.28515625" style="25"/>
  </cols>
  <sheetData>
    <row r="1" spans="1:11" ht="15.75">
      <c r="A1" s="282"/>
      <c r="B1" s="282"/>
      <c r="C1" s="282"/>
      <c r="D1" s="282"/>
      <c r="E1" s="282"/>
      <c r="F1" s="282"/>
      <c r="G1" s="282"/>
      <c r="H1" s="282"/>
      <c r="I1" s="282"/>
      <c r="J1" s="323" t="s">
        <v>24</v>
      </c>
      <c r="K1" s="323"/>
    </row>
    <row r="2" spans="1:11" ht="27.75" customHeight="1">
      <c r="A2" s="327" t="s">
        <v>647</v>
      </c>
      <c r="B2" s="327"/>
      <c r="C2" s="327"/>
      <c r="D2" s="327"/>
      <c r="E2" s="327"/>
      <c r="F2" s="327"/>
      <c r="G2" s="327"/>
      <c r="H2" s="327"/>
      <c r="I2" s="327"/>
      <c r="J2" s="327"/>
      <c r="K2" s="327"/>
    </row>
    <row r="3" spans="1:11">
      <c r="J3" s="329" t="s">
        <v>2</v>
      </c>
      <c r="K3" s="329"/>
    </row>
    <row r="4" spans="1:11" ht="30.75" customHeight="1">
      <c r="A4" s="328" t="s">
        <v>0</v>
      </c>
      <c r="B4" s="328" t="s">
        <v>141</v>
      </c>
      <c r="C4" s="328" t="s">
        <v>71</v>
      </c>
      <c r="D4" s="330" t="s">
        <v>318</v>
      </c>
      <c r="E4" s="331"/>
      <c r="F4" s="332"/>
      <c r="G4" s="333" t="s">
        <v>643</v>
      </c>
      <c r="H4" s="334"/>
      <c r="I4" s="335"/>
      <c r="J4" s="336" t="s">
        <v>135</v>
      </c>
      <c r="K4" s="328" t="s">
        <v>1</v>
      </c>
    </row>
    <row r="5" spans="1:11" ht="72" customHeight="1">
      <c r="A5" s="328"/>
      <c r="B5" s="328"/>
      <c r="C5" s="328"/>
      <c r="D5" s="62" t="s">
        <v>317</v>
      </c>
      <c r="E5" s="63" t="s">
        <v>626</v>
      </c>
      <c r="F5" s="63" t="s">
        <v>327</v>
      </c>
      <c r="G5" s="132" t="s">
        <v>317</v>
      </c>
      <c r="H5" s="26" t="s">
        <v>638</v>
      </c>
      <c r="I5" s="63" t="s">
        <v>639</v>
      </c>
      <c r="J5" s="336"/>
      <c r="K5" s="328"/>
    </row>
    <row r="6" spans="1:11" s="230" customFormat="1" ht="21.75" customHeight="1">
      <c r="A6" s="240"/>
      <c r="B6" s="240" t="s">
        <v>7</v>
      </c>
      <c r="C6" s="240"/>
      <c r="D6" s="227">
        <f>E6+F6</f>
        <v>41716.530769999998</v>
      </c>
      <c r="E6" s="247">
        <f>E54</f>
        <v>34223</v>
      </c>
      <c r="F6" s="247">
        <f>F7</f>
        <v>7493.5307700000003</v>
      </c>
      <c r="G6" s="247"/>
      <c r="H6" s="247">
        <f>H54</f>
        <v>0</v>
      </c>
      <c r="I6" s="247">
        <f>I54</f>
        <v>9</v>
      </c>
      <c r="J6" s="298">
        <f>G6/D6*100</f>
        <v>0</v>
      </c>
      <c r="K6" s="247"/>
    </row>
    <row r="7" spans="1:11" ht="15.75">
      <c r="A7" s="268" t="s">
        <v>635</v>
      </c>
      <c r="B7" s="358" t="s">
        <v>625</v>
      </c>
      <c r="C7" s="357"/>
      <c r="D7" s="269">
        <f>D8+D10+D34+D41+D48+D50</f>
        <v>7493.5307700000003</v>
      </c>
      <c r="E7" s="269"/>
      <c r="F7" s="269">
        <f>F8+F10+F34+F41+F48+F50</f>
        <v>7493.5307700000003</v>
      </c>
      <c r="G7" s="269">
        <f>G8+G10+G34+G41+G48+G50</f>
        <v>0</v>
      </c>
      <c r="H7" s="269"/>
      <c r="I7" s="269">
        <f>I8+I10+I34+I41+I48+I50</f>
        <v>0</v>
      </c>
      <c r="J7" s="278">
        <f t="shared" ref="J7:J14" si="0">G7/D7*100</f>
        <v>0</v>
      </c>
      <c r="K7" s="270"/>
    </row>
    <row r="8" spans="1:11" s="230" customFormat="1" ht="21.75" customHeight="1">
      <c r="A8" s="240" t="s">
        <v>3</v>
      </c>
      <c r="B8" s="246" t="s">
        <v>632</v>
      </c>
      <c r="C8" s="217"/>
      <c r="D8" s="227">
        <f>D9</f>
        <v>26.286262999999963</v>
      </c>
      <c r="E8" s="227">
        <f t="shared" ref="E8:H8" si="1">E9</f>
        <v>0</v>
      </c>
      <c r="F8" s="227">
        <f t="shared" si="1"/>
        <v>26.286262999999963</v>
      </c>
      <c r="G8" s="64">
        <f t="shared" ref="G8:G19" si="2">H8+I8</f>
        <v>0</v>
      </c>
      <c r="H8" s="227">
        <f t="shared" si="1"/>
        <v>0</v>
      </c>
      <c r="I8" s="227"/>
      <c r="J8" s="278">
        <f t="shared" si="0"/>
        <v>0</v>
      </c>
      <c r="K8" s="229"/>
    </row>
    <row r="9" spans="1:11" s="230" customFormat="1" ht="18" customHeight="1">
      <c r="A9" s="241"/>
      <c r="B9" s="231" t="s">
        <v>67</v>
      </c>
      <c r="C9" s="205" t="s">
        <v>67</v>
      </c>
      <c r="D9" s="237">
        <f>F9</f>
        <v>26.286262999999963</v>
      </c>
      <c r="E9" s="237"/>
      <c r="F9" s="237">
        <f>sn!F43</f>
        <v>26.286262999999963</v>
      </c>
      <c r="G9" s="64">
        <f t="shared" si="2"/>
        <v>0</v>
      </c>
      <c r="H9" s="238"/>
      <c r="I9" s="238"/>
      <c r="J9" s="278">
        <f t="shared" si="0"/>
        <v>0</v>
      </c>
      <c r="K9" s="239"/>
    </row>
    <row r="10" spans="1:11" s="230" customFormat="1" ht="18" customHeight="1">
      <c r="A10" s="240" t="s">
        <v>5</v>
      </c>
      <c r="B10" s="246" t="s">
        <v>627</v>
      </c>
      <c r="C10" s="217"/>
      <c r="D10" s="227">
        <f>F10</f>
        <v>4526.4691800000001</v>
      </c>
      <c r="E10" s="227"/>
      <c r="F10" s="227">
        <f>sn!F44</f>
        <v>4526.4691800000001</v>
      </c>
      <c r="G10" s="64">
        <f t="shared" si="2"/>
        <v>0</v>
      </c>
      <c r="H10" s="228"/>
      <c r="I10" s="228"/>
      <c r="J10" s="278">
        <f t="shared" si="0"/>
        <v>0</v>
      </c>
      <c r="K10" s="229"/>
    </row>
    <row r="11" spans="1:11" s="277" customFormat="1" ht="18" customHeight="1">
      <c r="A11" s="271"/>
      <c r="B11" s="272" t="s">
        <v>321</v>
      </c>
      <c r="C11" s="273"/>
      <c r="D11" s="274">
        <f>F11</f>
        <v>367.46918000000005</v>
      </c>
      <c r="E11" s="274"/>
      <c r="F11" s="274">
        <f>sn!F45</f>
        <v>367.46918000000005</v>
      </c>
      <c r="G11" s="64">
        <f t="shared" si="2"/>
        <v>0</v>
      </c>
      <c r="H11" s="275"/>
      <c r="I11" s="275"/>
      <c r="J11" s="278">
        <f t="shared" si="0"/>
        <v>0</v>
      </c>
      <c r="K11" s="276"/>
    </row>
    <row r="12" spans="1:11" s="230" customFormat="1" ht="15.75">
      <c r="A12" s="242">
        <v>1</v>
      </c>
      <c r="B12" s="231" t="s">
        <v>61</v>
      </c>
      <c r="C12" s="232" t="s">
        <v>61</v>
      </c>
      <c r="D12" s="68">
        <f t="shared" ref="D12:D53" si="3">F12</f>
        <v>5.7322399999999902</v>
      </c>
      <c r="E12" s="68"/>
      <c r="F12" s="68">
        <f>sn!F46</f>
        <v>5.7322399999999902</v>
      </c>
      <c r="G12" s="64">
        <f t="shared" si="2"/>
        <v>0</v>
      </c>
      <c r="H12" s="243"/>
      <c r="I12" s="243"/>
      <c r="J12" s="278">
        <f t="shared" si="0"/>
        <v>0</v>
      </c>
      <c r="K12" s="244"/>
    </row>
    <row r="13" spans="1:11" s="230" customFormat="1" ht="15.75">
      <c r="A13" s="242">
        <v>2</v>
      </c>
      <c r="B13" s="231" t="s">
        <v>50</v>
      </c>
      <c r="C13" s="232" t="s">
        <v>50</v>
      </c>
      <c r="D13" s="68">
        <f t="shared" si="3"/>
        <v>33.146250000000009</v>
      </c>
      <c r="E13" s="68"/>
      <c r="F13" s="68">
        <f>sn!F47</f>
        <v>33.146250000000009</v>
      </c>
      <c r="G13" s="64">
        <f t="shared" si="2"/>
        <v>0</v>
      </c>
      <c r="H13" s="243"/>
      <c r="I13" s="243"/>
      <c r="J13" s="278">
        <f t="shared" si="0"/>
        <v>0</v>
      </c>
      <c r="K13" s="244"/>
    </row>
    <row r="14" spans="1:11" s="230" customFormat="1" ht="15.75">
      <c r="A14" s="242">
        <v>3</v>
      </c>
      <c r="B14" s="231" t="s">
        <v>41</v>
      </c>
      <c r="C14" s="232" t="s">
        <v>41</v>
      </c>
      <c r="D14" s="68">
        <f t="shared" si="3"/>
        <v>42.996800000000007</v>
      </c>
      <c r="E14" s="68"/>
      <c r="F14" s="68">
        <f>sn!F48</f>
        <v>42.996800000000007</v>
      </c>
      <c r="G14" s="64">
        <f t="shared" si="2"/>
        <v>0</v>
      </c>
      <c r="H14" s="243"/>
      <c r="I14" s="243"/>
      <c r="J14" s="278">
        <f t="shared" si="0"/>
        <v>0</v>
      </c>
      <c r="K14" s="244"/>
    </row>
    <row r="15" spans="1:11" s="230" customFormat="1" ht="15.75">
      <c r="A15" s="242">
        <v>4</v>
      </c>
      <c r="B15" s="231" t="s">
        <v>62</v>
      </c>
      <c r="C15" s="232" t="s">
        <v>62</v>
      </c>
      <c r="D15" s="68">
        <f t="shared" si="3"/>
        <v>39.77819999999997</v>
      </c>
      <c r="E15" s="68"/>
      <c r="F15" s="68">
        <f>sn!F49</f>
        <v>39.77819999999997</v>
      </c>
      <c r="G15" s="64">
        <f t="shared" si="2"/>
        <v>0</v>
      </c>
      <c r="H15" s="243"/>
      <c r="I15" s="243"/>
      <c r="J15" s="278">
        <f t="shared" ref="J15:J53" si="4">G15/D15*100</f>
        <v>0</v>
      </c>
      <c r="K15" s="244"/>
    </row>
    <row r="16" spans="1:11" s="230" customFormat="1" ht="15.75">
      <c r="A16" s="242">
        <v>5</v>
      </c>
      <c r="B16" s="231" t="s">
        <v>51</v>
      </c>
      <c r="C16" s="232" t="s">
        <v>51</v>
      </c>
      <c r="D16" s="68">
        <f t="shared" si="3"/>
        <v>60.944000000000017</v>
      </c>
      <c r="E16" s="68"/>
      <c r="F16" s="68">
        <f>sn!F50</f>
        <v>60.944000000000017</v>
      </c>
      <c r="G16" s="64">
        <f t="shared" si="2"/>
        <v>0</v>
      </c>
      <c r="H16" s="243"/>
      <c r="I16" s="243"/>
      <c r="J16" s="278">
        <f t="shared" si="4"/>
        <v>0</v>
      </c>
      <c r="K16" s="244"/>
    </row>
    <row r="17" spans="1:11" s="230" customFormat="1" ht="15.75">
      <c r="A17" s="242">
        <v>6</v>
      </c>
      <c r="B17" s="231" t="s">
        <v>44</v>
      </c>
      <c r="C17" s="232" t="s">
        <v>44</v>
      </c>
      <c r="D17" s="68">
        <f t="shared" si="3"/>
        <v>6.5249999999999773</v>
      </c>
      <c r="E17" s="68"/>
      <c r="F17" s="68">
        <f>sn!F51</f>
        <v>6.5249999999999773</v>
      </c>
      <c r="G17" s="64">
        <f t="shared" si="2"/>
        <v>0</v>
      </c>
      <c r="H17" s="243"/>
      <c r="I17" s="243"/>
      <c r="J17" s="278">
        <f t="shared" si="4"/>
        <v>0</v>
      </c>
      <c r="K17" s="244"/>
    </row>
    <row r="18" spans="1:11" s="230" customFormat="1" ht="15.75">
      <c r="A18" s="242">
        <v>7</v>
      </c>
      <c r="B18" s="231" t="s">
        <v>45</v>
      </c>
      <c r="C18" s="232" t="s">
        <v>45</v>
      </c>
      <c r="D18" s="68">
        <f t="shared" si="3"/>
        <v>38.206000000000017</v>
      </c>
      <c r="E18" s="68"/>
      <c r="F18" s="68">
        <f>sn!F52</f>
        <v>38.206000000000017</v>
      </c>
      <c r="G18" s="64">
        <f t="shared" si="2"/>
        <v>0</v>
      </c>
      <c r="H18" s="243"/>
      <c r="I18" s="243"/>
      <c r="J18" s="278">
        <f t="shared" si="4"/>
        <v>0</v>
      </c>
      <c r="K18" s="244"/>
    </row>
    <row r="19" spans="1:11" s="230" customFormat="1" ht="15.75">
      <c r="A19" s="242">
        <v>8</v>
      </c>
      <c r="B19" s="231" t="s">
        <v>63</v>
      </c>
      <c r="C19" s="232" t="s">
        <v>63</v>
      </c>
      <c r="D19" s="68">
        <f t="shared" si="3"/>
        <v>49.682830000000024</v>
      </c>
      <c r="E19" s="68"/>
      <c r="F19" s="68">
        <f>sn!F53</f>
        <v>49.682830000000024</v>
      </c>
      <c r="G19" s="64">
        <f t="shared" si="2"/>
        <v>0</v>
      </c>
      <c r="H19" s="243"/>
      <c r="I19" s="243"/>
      <c r="J19" s="278">
        <f t="shared" si="4"/>
        <v>0</v>
      </c>
      <c r="K19" s="244"/>
    </row>
    <row r="20" spans="1:11" s="230" customFormat="1" ht="15.75">
      <c r="A20" s="242">
        <v>9</v>
      </c>
      <c r="B20" s="231" t="s">
        <v>64</v>
      </c>
      <c r="C20" s="232" t="s">
        <v>64</v>
      </c>
      <c r="D20" s="68">
        <f t="shared" si="3"/>
        <v>28.207860000000039</v>
      </c>
      <c r="E20" s="68"/>
      <c r="F20" s="68">
        <f>sn!F54</f>
        <v>28.207860000000039</v>
      </c>
      <c r="G20" s="64">
        <f t="shared" ref="G20:G83" si="5">H20+I20</f>
        <v>0</v>
      </c>
      <c r="H20" s="243"/>
      <c r="I20" s="243"/>
      <c r="J20" s="278">
        <f t="shared" si="4"/>
        <v>0</v>
      </c>
      <c r="K20" s="244"/>
    </row>
    <row r="21" spans="1:11" s="230" customFormat="1" ht="15.75">
      <c r="A21" s="242">
        <v>10</v>
      </c>
      <c r="B21" s="231" t="s">
        <v>43</v>
      </c>
      <c r="C21" s="232" t="s">
        <v>43</v>
      </c>
      <c r="D21" s="68">
        <f t="shared" si="3"/>
        <v>62.25</v>
      </c>
      <c r="E21" s="68"/>
      <c r="F21" s="68">
        <f>sn!F55</f>
        <v>62.25</v>
      </c>
      <c r="G21" s="64">
        <f t="shared" si="5"/>
        <v>0</v>
      </c>
      <c r="H21" s="243"/>
      <c r="I21" s="243"/>
      <c r="J21" s="278">
        <f t="shared" si="4"/>
        <v>0</v>
      </c>
      <c r="K21" s="244"/>
    </row>
    <row r="22" spans="1:11" s="277" customFormat="1" ht="18" customHeight="1">
      <c r="A22" s="271"/>
      <c r="B22" s="272" t="s">
        <v>322</v>
      </c>
      <c r="C22" s="273"/>
      <c r="D22" s="274">
        <f t="shared" si="3"/>
        <v>4159</v>
      </c>
      <c r="E22" s="274"/>
      <c r="F22" s="274">
        <f>sn!F56</f>
        <v>4159</v>
      </c>
      <c r="G22" s="64">
        <f t="shared" si="5"/>
        <v>0</v>
      </c>
      <c r="H22" s="275"/>
      <c r="I22" s="275"/>
      <c r="J22" s="278">
        <f t="shared" si="4"/>
        <v>0</v>
      </c>
      <c r="K22" s="276"/>
    </row>
    <row r="23" spans="1:11" s="230" customFormat="1" ht="15.75">
      <c r="A23" s="242">
        <v>1</v>
      </c>
      <c r="B23" s="231" t="s">
        <v>61</v>
      </c>
      <c r="C23" s="232" t="s">
        <v>61</v>
      </c>
      <c r="D23" s="68">
        <f t="shared" si="3"/>
        <v>360.12</v>
      </c>
      <c r="E23" s="68"/>
      <c r="F23" s="68">
        <f>sn!F57</f>
        <v>360.12</v>
      </c>
      <c r="G23" s="64">
        <f t="shared" si="5"/>
        <v>0</v>
      </c>
      <c r="H23" s="243"/>
      <c r="I23" s="243"/>
      <c r="J23" s="278">
        <f t="shared" si="4"/>
        <v>0</v>
      </c>
      <c r="K23" s="244"/>
    </row>
    <row r="24" spans="1:11" s="230" customFormat="1" ht="15.75">
      <c r="A24" s="242">
        <v>2</v>
      </c>
      <c r="B24" s="231" t="s">
        <v>50</v>
      </c>
      <c r="C24" s="232" t="s">
        <v>50</v>
      </c>
      <c r="D24" s="68">
        <f t="shared" si="3"/>
        <v>381.48</v>
      </c>
      <c r="E24" s="68"/>
      <c r="F24" s="68">
        <f>sn!F58</f>
        <v>381.48</v>
      </c>
      <c r="G24" s="64">
        <f t="shared" si="5"/>
        <v>0</v>
      </c>
      <c r="H24" s="243"/>
      <c r="I24" s="243"/>
      <c r="J24" s="278">
        <f t="shared" si="4"/>
        <v>0</v>
      </c>
      <c r="K24" s="244"/>
    </row>
    <row r="25" spans="1:11" s="230" customFormat="1" ht="15.75">
      <c r="A25" s="242">
        <v>3</v>
      </c>
      <c r="B25" s="231" t="s">
        <v>41</v>
      </c>
      <c r="C25" s="232" t="s">
        <v>41</v>
      </c>
      <c r="D25" s="68">
        <f t="shared" si="3"/>
        <v>363.62</v>
      </c>
      <c r="E25" s="68"/>
      <c r="F25" s="68">
        <f>sn!F59</f>
        <v>363.62</v>
      </c>
      <c r="G25" s="64">
        <f t="shared" si="5"/>
        <v>0</v>
      </c>
      <c r="H25" s="243"/>
      <c r="I25" s="243"/>
      <c r="J25" s="278">
        <f t="shared" si="4"/>
        <v>0</v>
      </c>
      <c r="K25" s="244"/>
    </row>
    <row r="26" spans="1:11" s="230" customFormat="1" ht="15.75">
      <c r="A26" s="242">
        <v>4</v>
      </c>
      <c r="B26" s="231" t="s">
        <v>62</v>
      </c>
      <c r="C26" s="232" t="s">
        <v>62</v>
      </c>
      <c r="D26" s="68">
        <f t="shared" si="3"/>
        <v>356.73</v>
      </c>
      <c r="E26" s="68"/>
      <c r="F26" s="68">
        <f>sn!F60</f>
        <v>356.73</v>
      </c>
      <c r="G26" s="64">
        <f t="shared" si="5"/>
        <v>0</v>
      </c>
      <c r="H26" s="243"/>
      <c r="I26" s="243"/>
      <c r="J26" s="278">
        <f t="shared" si="4"/>
        <v>0</v>
      </c>
      <c r="K26" s="244"/>
    </row>
    <row r="27" spans="1:11" s="230" customFormat="1" ht="15.75">
      <c r="A27" s="242">
        <v>5</v>
      </c>
      <c r="B27" s="231" t="s">
        <v>51</v>
      </c>
      <c r="C27" s="232" t="s">
        <v>51</v>
      </c>
      <c r="D27" s="68">
        <f t="shared" si="3"/>
        <v>382.82</v>
      </c>
      <c r="E27" s="68"/>
      <c r="F27" s="68">
        <f>sn!F61</f>
        <v>382.82</v>
      </c>
      <c r="G27" s="64">
        <f t="shared" si="5"/>
        <v>0</v>
      </c>
      <c r="H27" s="243"/>
      <c r="I27" s="243"/>
      <c r="J27" s="278">
        <f t="shared" si="4"/>
        <v>0</v>
      </c>
      <c r="K27" s="244"/>
    </row>
    <row r="28" spans="1:11" s="230" customFormat="1" ht="15.75">
      <c r="A28" s="242">
        <v>6</v>
      </c>
      <c r="B28" s="231" t="s">
        <v>44</v>
      </c>
      <c r="C28" s="232" t="s">
        <v>44</v>
      </c>
      <c r="D28" s="68">
        <f t="shared" si="3"/>
        <v>388.92</v>
      </c>
      <c r="E28" s="68"/>
      <c r="F28" s="68">
        <f>sn!F62</f>
        <v>388.92</v>
      </c>
      <c r="G28" s="64">
        <f t="shared" si="5"/>
        <v>0</v>
      </c>
      <c r="H28" s="243"/>
      <c r="I28" s="243"/>
      <c r="J28" s="278">
        <f t="shared" si="4"/>
        <v>0</v>
      </c>
      <c r="K28" s="244"/>
    </row>
    <row r="29" spans="1:11" s="230" customFormat="1" ht="15.75">
      <c r="A29" s="242">
        <v>7</v>
      </c>
      <c r="B29" s="231" t="s">
        <v>45</v>
      </c>
      <c r="C29" s="232" t="s">
        <v>45</v>
      </c>
      <c r="D29" s="68">
        <f t="shared" si="3"/>
        <v>394.54</v>
      </c>
      <c r="E29" s="68"/>
      <c r="F29" s="68">
        <f>sn!F63</f>
        <v>394.54</v>
      </c>
      <c r="G29" s="64">
        <f t="shared" si="5"/>
        <v>0</v>
      </c>
      <c r="H29" s="243"/>
      <c r="I29" s="243"/>
      <c r="J29" s="278">
        <f t="shared" si="4"/>
        <v>0</v>
      </c>
      <c r="K29" s="244"/>
    </row>
    <row r="30" spans="1:11" s="230" customFormat="1" ht="15.75">
      <c r="A30" s="242">
        <v>8</v>
      </c>
      <c r="B30" s="231" t="s">
        <v>63</v>
      </c>
      <c r="C30" s="232" t="s">
        <v>63</v>
      </c>
      <c r="D30" s="68">
        <f t="shared" si="3"/>
        <v>379.16</v>
      </c>
      <c r="E30" s="68"/>
      <c r="F30" s="68">
        <f>sn!F64</f>
        <v>379.16</v>
      </c>
      <c r="G30" s="64">
        <f t="shared" si="5"/>
        <v>0</v>
      </c>
      <c r="H30" s="243"/>
      <c r="I30" s="243"/>
      <c r="J30" s="278">
        <f t="shared" si="4"/>
        <v>0</v>
      </c>
      <c r="K30" s="244"/>
    </row>
    <row r="31" spans="1:11" s="230" customFormat="1" ht="15.75">
      <c r="A31" s="242">
        <v>9</v>
      </c>
      <c r="B31" s="231" t="s">
        <v>64</v>
      </c>
      <c r="C31" s="232" t="s">
        <v>64</v>
      </c>
      <c r="D31" s="68">
        <f t="shared" si="3"/>
        <v>386.54</v>
      </c>
      <c r="E31" s="68"/>
      <c r="F31" s="68">
        <f>sn!F65</f>
        <v>386.54</v>
      </c>
      <c r="G31" s="64">
        <f t="shared" si="5"/>
        <v>0</v>
      </c>
      <c r="H31" s="243"/>
      <c r="I31" s="243"/>
      <c r="J31" s="278">
        <f t="shared" si="4"/>
        <v>0</v>
      </c>
      <c r="K31" s="244"/>
    </row>
    <row r="32" spans="1:11" s="230" customFormat="1" ht="15.75">
      <c r="A32" s="242">
        <v>10</v>
      </c>
      <c r="B32" s="231" t="s">
        <v>65</v>
      </c>
      <c r="C32" s="232" t="s">
        <v>65</v>
      </c>
      <c r="D32" s="68">
        <f t="shared" si="3"/>
        <v>381.45</v>
      </c>
      <c r="E32" s="68"/>
      <c r="F32" s="68">
        <f>sn!F66</f>
        <v>381.45</v>
      </c>
      <c r="G32" s="64">
        <f t="shared" si="5"/>
        <v>0</v>
      </c>
      <c r="H32" s="243"/>
      <c r="I32" s="243"/>
      <c r="J32" s="278">
        <f t="shared" si="4"/>
        <v>0</v>
      </c>
      <c r="K32" s="244"/>
    </row>
    <row r="33" spans="1:11" s="230" customFormat="1" ht="15.75">
      <c r="A33" s="242">
        <v>11</v>
      </c>
      <c r="B33" s="231" t="s">
        <v>43</v>
      </c>
      <c r="C33" s="232" t="s">
        <v>43</v>
      </c>
      <c r="D33" s="68">
        <f t="shared" si="3"/>
        <v>383.62</v>
      </c>
      <c r="E33" s="68"/>
      <c r="F33" s="68">
        <f>sn!F67</f>
        <v>383.62</v>
      </c>
      <c r="G33" s="64">
        <f t="shared" si="5"/>
        <v>0</v>
      </c>
      <c r="H33" s="243"/>
      <c r="I33" s="243"/>
      <c r="J33" s="278">
        <f t="shared" si="4"/>
        <v>0</v>
      </c>
      <c r="K33" s="244"/>
    </row>
    <row r="34" spans="1:11" s="230" customFormat="1" ht="18" customHeight="1">
      <c r="A34" s="240" t="s">
        <v>12</v>
      </c>
      <c r="B34" s="246" t="s">
        <v>628</v>
      </c>
      <c r="C34" s="217"/>
      <c r="D34" s="227">
        <f t="shared" si="3"/>
        <v>118.64532700000001</v>
      </c>
      <c r="E34" s="227"/>
      <c r="F34" s="227">
        <f>sn!F68</f>
        <v>118.64532700000001</v>
      </c>
      <c r="G34" s="64">
        <f t="shared" si="5"/>
        <v>0</v>
      </c>
      <c r="H34" s="228"/>
      <c r="I34" s="228"/>
      <c r="J34" s="278">
        <f t="shared" si="4"/>
        <v>0</v>
      </c>
      <c r="K34" s="229"/>
    </row>
    <row r="35" spans="1:11" s="277" customFormat="1" ht="18" customHeight="1">
      <c r="A35" s="271"/>
      <c r="B35" s="272" t="s">
        <v>321</v>
      </c>
      <c r="C35" s="273"/>
      <c r="D35" s="274">
        <f t="shared" si="3"/>
        <v>118.64532700000001</v>
      </c>
      <c r="E35" s="274"/>
      <c r="F35" s="274">
        <f>SUM(F36:F40)</f>
        <v>118.64532700000001</v>
      </c>
      <c r="G35" s="64">
        <f t="shared" si="5"/>
        <v>0</v>
      </c>
      <c r="H35" s="275"/>
      <c r="I35" s="275"/>
      <c r="J35" s="278"/>
      <c r="K35" s="276"/>
    </row>
    <row r="36" spans="1:11" s="230" customFormat="1" ht="15.75">
      <c r="A36" s="242">
        <v>1</v>
      </c>
      <c r="B36" s="231" t="s">
        <v>61</v>
      </c>
      <c r="C36" s="232" t="s">
        <v>61</v>
      </c>
      <c r="D36" s="68">
        <f t="shared" si="3"/>
        <v>0.29999999999999716</v>
      </c>
      <c r="E36" s="68"/>
      <c r="F36" s="68">
        <f>sn!F70</f>
        <v>0.29999999999999716</v>
      </c>
      <c r="G36" s="64">
        <f t="shared" si="5"/>
        <v>0</v>
      </c>
      <c r="H36" s="243"/>
      <c r="I36" s="243"/>
      <c r="J36" s="278">
        <f t="shared" si="4"/>
        <v>0</v>
      </c>
      <c r="K36" s="244"/>
    </row>
    <row r="37" spans="1:11" s="230" customFormat="1" ht="15.75">
      <c r="A37" s="242">
        <v>2</v>
      </c>
      <c r="B37" s="231" t="s">
        <v>41</v>
      </c>
      <c r="C37" s="232" t="s">
        <v>41</v>
      </c>
      <c r="D37" s="68">
        <f t="shared" si="3"/>
        <v>0.11732700000000307</v>
      </c>
      <c r="E37" s="68"/>
      <c r="F37" s="68">
        <f>sn!F71</f>
        <v>0.11732700000000307</v>
      </c>
      <c r="G37" s="64">
        <f t="shared" si="5"/>
        <v>0</v>
      </c>
      <c r="H37" s="243"/>
      <c r="I37" s="243"/>
      <c r="J37" s="278">
        <f t="shared" si="4"/>
        <v>0</v>
      </c>
      <c r="K37" s="244"/>
    </row>
    <row r="38" spans="1:11" s="230" customFormat="1" ht="15.75">
      <c r="A38" s="242">
        <v>3</v>
      </c>
      <c r="B38" s="231" t="s">
        <v>45</v>
      </c>
      <c r="C38" s="232" t="s">
        <v>45</v>
      </c>
      <c r="D38" s="68">
        <f t="shared" si="3"/>
        <v>118.2</v>
      </c>
      <c r="E38" s="68"/>
      <c r="F38" s="68">
        <f>sn!F72</f>
        <v>118.2</v>
      </c>
      <c r="G38" s="64">
        <f t="shared" si="5"/>
        <v>0</v>
      </c>
      <c r="H38" s="243"/>
      <c r="I38" s="243"/>
      <c r="J38" s="278">
        <f t="shared" si="4"/>
        <v>0</v>
      </c>
      <c r="K38" s="244"/>
    </row>
    <row r="39" spans="1:11" s="230" customFormat="1" ht="15.75">
      <c r="A39" s="242">
        <v>4</v>
      </c>
      <c r="B39" s="231" t="s">
        <v>63</v>
      </c>
      <c r="C39" s="232" t="s">
        <v>63</v>
      </c>
      <c r="D39" s="68">
        <f t="shared" si="3"/>
        <v>2.7000000000001023E-2</v>
      </c>
      <c r="E39" s="68"/>
      <c r="F39" s="68">
        <f>sn!F73</f>
        <v>2.7000000000001023E-2</v>
      </c>
      <c r="G39" s="64">
        <f t="shared" si="5"/>
        <v>0</v>
      </c>
      <c r="H39" s="243"/>
      <c r="I39" s="243"/>
      <c r="J39" s="278">
        <f t="shared" si="4"/>
        <v>0</v>
      </c>
      <c r="K39" s="244"/>
    </row>
    <row r="40" spans="1:11" s="230" customFormat="1" ht="15.75">
      <c r="A40" s="242">
        <v>5</v>
      </c>
      <c r="B40" s="231" t="s">
        <v>64</v>
      </c>
      <c r="C40" s="232" t="s">
        <v>64</v>
      </c>
      <c r="D40" s="68">
        <f t="shared" si="3"/>
        <v>1.0000000000047748E-3</v>
      </c>
      <c r="E40" s="68"/>
      <c r="F40" s="68">
        <f>sn!F74</f>
        <v>1.0000000000047748E-3</v>
      </c>
      <c r="G40" s="64">
        <f t="shared" si="5"/>
        <v>0</v>
      </c>
      <c r="H40" s="243"/>
      <c r="I40" s="243"/>
      <c r="J40" s="278">
        <f t="shared" si="4"/>
        <v>0</v>
      </c>
      <c r="K40" s="244"/>
    </row>
    <row r="41" spans="1:11" s="230" customFormat="1" ht="18" customHeight="1">
      <c r="A41" s="240" t="s">
        <v>13</v>
      </c>
      <c r="B41" s="246" t="s">
        <v>629</v>
      </c>
      <c r="C41" s="217"/>
      <c r="D41" s="227">
        <f t="shared" si="3"/>
        <v>2518.1610000000001</v>
      </c>
      <c r="E41" s="227"/>
      <c r="F41" s="227">
        <f>sn!F75</f>
        <v>2518.1610000000001</v>
      </c>
      <c r="G41" s="64">
        <f t="shared" si="5"/>
        <v>0</v>
      </c>
      <c r="H41" s="228"/>
      <c r="I41" s="228"/>
      <c r="J41" s="278">
        <f t="shared" si="4"/>
        <v>0</v>
      </c>
      <c r="K41" s="229"/>
    </row>
    <row r="42" spans="1:11" s="230" customFormat="1" ht="15.75">
      <c r="A42" s="242">
        <v>1</v>
      </c>
      <c r="B42" s="231" t="s">
        <v>610</v>
      </c>
      <c r="C42" s="232" t="s">
        <v>611</v>
      </c>
      <c r="D42" s="68">
        <f t="shared" si="3"/>
        <v>132.82499999999999</v>
      </c>
      <c r="E42" s="68"/>
      <c r="F42" s="68">
        <f>sn!F76</f>
        <v>132.82499999999999</v>
      </c>
      <c r="G42" s="64">
        <f t="shared" si="5"/>
        <v>0</v>
      </c>
      <c r="H42" s="243"/>
      <c r="I42" s="243"/>
      <c r="J42" s="278">
        <f t="shared" si="4"/>
        <v>0</v>
      </c>
      <c r="K42" s="244"/>
    </row>
    <row r="43" spans="1:11" s="230" customFormat="1" ht="15.75">
      <c r="A43" s="242">
        <v>2</v>
      </c>
      <c r="B43" s="231" t="s">
        <v>612</v>
      </c>
      <c r="C43" s="232" t="s">
        <v>140</v>
      </c>
      <c r="D43" s="68">
        <f t="shared" si="3"/>
        <v>196.23599999999999</v>
      </c>
      <c r="E43" s="68"/>
      <c r="F43" s="68">
        <f>sn!F77</f>
        <v>196.23599999999999</v>
      </c>
      <c r="G43" s="64">
        <f t="shared" si="5"/>
        <v>0</v>
      </c>
      <c r="H43" s="243"/>
      <c r="I43" s="243"/>
      <c r="J43" s="278">
        <f t="shared" si="4"/>
        <v>0</v>
      </c>
      <c r="K43" s="244"/>
    </row>
    <row r="44" spans="1:11" s="230" customFormat="1" ht="15.75">
      <c r="A44" s="242">
        <v>3</v>
      </c>
      <c r="B44" s="231" t="s">
        <v>613</v>
      </c>
      <c r="C44" s="232" t="s">
        <v>67</v>
      </c>
      <c r="D44" s="68">
        <f t="shared" si="3"/>
        <v>186</v>
      </c>
      <c r="E44" s="68"/>
      <c r="F44" s="68">
        <f>sn!F78</f>
        <v>186</v>
      </c>
      <c r="G44" s="64">
        <f t="shared" si="5"/>
        <v>0</v>
      </c>
      <c r="H44" s="243"/>
      <c r="I44" s="243"/>
      <c r="J44" s="278">
        <f t="shared" si="4"/>
        <v>0</v>
      </c>
      <c r="K44" s="244"/>
    </row>
    <row r="45" spans="1:11" s="230" customFormat="1" ht="15.75">
      <c r="A45" s="242">
        <v>4</v>
      </c>
      <c r="B45" s="231" t="s">
        <v>614</v>
      </c>
      <c r="C45" s="232" t="s">
        <v>67</v>
      </c>
      <c r="D45" s="68">
        <f t="shared" si="3"/>
        <v>187</v>
      </c>
      <c r="E45" s="68"/>
      <c r="F45" s="68">
        <f>sn!F79</f>
        <v>187</v>
      </c>
      <c r="G45" s="64">
        <f t="shared" si="5"/>
        <v>0</v>
      </c>
      <c r="H45" s="243"/>
      <c r="I45" s="243"/>
      <c r="J45" s="278">
        <f t="shared" si="4"/>
        <v>0</v>
      </c>
      <c r="K45" s="244"/>
    </row>
    <row r="46" spans="1:11" s="230" customFormat="1" ht="15.75">
      <c r="A46" s="242">
        <v>5</v>
      </c>
      <c r="B46" s="231" t="s">
        <v>615</v>
      </c>
      <c r="C46" s="232" t="s">
        <v>616</v>
      </c>
      <c r="D46" s="68">
        <f t="shared" si="3"/>
        <v>153</v>
      </c>
      <c r="E46" s="68"/>
      <c r="F46" s="68">
        <f>sn!F80</f>
        <v>153</v>
      </c>
      <c r="G46" s="64">
        <f t="shared" si="5"/>
        <v>0</v>
      </c>
      <c r="H46" s="243"/>
      <c r="I46" s="243"/>
      <c r="J46" s="278">
        <f t="shared" si="4"/>
        <v>0</v>
      </c>
      <c r="K46" s="244"/>
    </row>
    <row r="47" spans="1:11" s="230" customFormat="1" ht="30">
      <c r="A47" s="242">
        <v>6</v>
      </c>
      <c r="B47" s="231" t="s">
        <v>617</v>
      </c>
      <c r="C47" s="232" t="s">
        <v>39</v>
      </c>
      <c r="D47" s="68">
        <f t="shared" si="3"/>
        <v>1663.1</v>
      </c>
      <c r="E47" s="68"/>
      <c r="F47" s="68">
        <f>sn!F81</f>
        <v>1663.1</v>
      </c>
      <c r="G47" s="64">
        <f t="shared" si="5"/>
        <v>0</v>
      </c>
      <c r="H47" s="243"/>
      <c r="I47" s="243"/>
      <c r="J47" s="278">
        <f t="shared" si="4"/>
        <v>0</v>
      </c>
      <c r="K47" s="244"/>
    </row>
    <row r="48" spans="1:11" s="230" customFormat="1" ht="27" customHeight="1">
      <c r="A48" s="240" t="s">
        <v>139</v>
      </c>
      <c r="B48" s="246" t="s">
        <v>630</v>
      </c>
      <c r="C48" s="217"/>
      <c r="D48" s="227">
        <f t="shared" si="3"/>
        <v>61.521000000000015</v>
      </c>
      <c r="E48" s="227"/>
      <c r="F48" s="227">
        <f>sn!F82</f>
        <v>61.521000000000015</v>
      </c>
      <c r="G48" s="64">
        <f t="shared" si="5"/>
        <v>0</v>
      </c>
      <c r="H48" s="228"/>
      <c r="I48" s="228"/>
      <c r="J48" s="278">
        <f t="shared" si="4"/>
        <v>0</v>
      </c>
      <c r="K48" s="229"/>
    </row>
    <row r="49" spans="1:11" s="230" customFormat="1" ht="27" customHeight="1">
      <c r="A49" s="240">
        <v>1</v>
      </c>
      <c r="B49" s="231" t="s">
        <v>68</v>
      </c>
      <c r="C49" s="205" t="s">
        <v>68</v>
      </c>
      <c r="D49" s="227">
        <f t="shared" si="3"/>
        <v>61.521000000000015</v>
      </c>
      <c r="E49" s="227"/>
      <c r="F49" s="227">
        <f>sn!F83</f>
        <v>61.521000000000015</v>
      </c>
      <c r="G49" s="64">
        <f t="shared" si="5"/>
        <v>0</v>
      </c>
      <c r="H49" s="228"/>
      <c r="I49" s="228"/>
      <c r="J49" s="278">
        <f t="shared" si="4"/>
        <v>0</v>
      </c>
      <c r="K49" s="229"/>
    </row>
    <row r="50" spans="1:11" s="230" customFormat="1" ht="27" customHeight="1">
      <c r="A50" s="240" t="s">
        <v>14</v>
      </c>
      <c r="B50" s="246" t="s">
        <v>631</v>
      </c>
      <c r="C50" s="217"/>
      <c r="D50" s="227">
        <f t="shared" si="3"/>
        <v>242.44799999999998</v>
      </c>
      <c r="E50" s="227"/>
      <c r="F50" s="227">
        <f>sn!F84</f>
        <v>242.44799999999998</v>
      </c>
      <c r="G50" s="64">
        <f t="shared" si="5"/>
        <v>0</v>
      </c>
      <c r="H50" s="228"/>
      <c r="I50" s="228"/>
      <c r="J50" s="278">
        <f t="shared" si="4"/>
        <v>0</v>
      </c>
      <c r="K50" s="229"/>
    </row>
    <row r="51" spans="1:11" s="230" customFormat="1" ht="15.75">
      <c r="A51" s="242">
        <v>1</v>
      </c>
      <c r="B51" s="231" t="s">
        <v>621</v>
      </c>
      <c r="C51" s="337" t="s">
        <v>67</v>
      </c>
      <c r="D51" s="68">
        <f t="shared" si="3"/>
        <v>148.6</v>
      </c>
      <c r="E51" s="68"/>
      <c r="F51" s="68">
        <f>sn!F85</f>
        <v>148.6</v>
      </c>
      <c r="G51" s="64">
        <f t="shared" si="5"/>
        <v>0</v>
      </c>
      <c r="H51" s="243"/>
      <c r="I51" s="243"/>
      <c r="J51" s="278">
        <f t="shared" si="4"/>
        <v>0</v>
      </c>
      <c r="K51" s="244"/>
    </row>
    <row r="52" spans="1:11" s="230" customFormat="1" ht="15.75">
      <c r="A52" s="242">
        <v>2</v>
      </c>
      <c r="B52" s="231" t="s">
        <v>622</v>
      </c>
      <c r="C52" s="338"/>
      <c r="D52" s="68">
        <f t="shared" si="3"/>
        <v>51.847999999999999</v>
      </c>
      <c r="E52" s="68"/>
      <c r="F52" s="68">
        <f>sn!F86</f>
        <v>51.847999999999999</v>
      </c>
      <c r="G52" s="64">
        <f t="shared" si="5"/>
        <v>0</v>
      </c>
      <c r="H52" s="243"/>
      <c r="I52" s="243"/>
      <c r="J52" s="278">
        <f t="shared" si="4"/>
        <v>0</v>
      </c>
      <c r="K52" s="244"/>
    </row>
    <row r="53" spans="1:11" s="230" customFormat="1" ht="31.5">
      <c r="A53" s="242">
        <v>3</v>
      </c>
      <c r="B53" s="231" t="s">
        <v>645</v>
      </c>
      <c r="C53" s="232" t="s">
        <v>618</v>
      </c>
      <c r="D53" s="68">
        <f t="shared" si="3"/>
        <v>42</v>
      </c>
      <c r="E53" s="68"/>
      <c r="F53" s="68">
        <f>sn!F87</f>
        <v>42</v>
      </c>
      <c r="G53" s="64">
        <f t="shared" si="5"/>
        <v>0</v>
      </c>
      <c r="H53" s="243"/>
      <c r="I53" s="243"/>
      <c r="J53" s="278">
        <f t="shared" si="4"/>
        <v>0</v>
      </c>
      <c r="K53" s="244"/>
    </row>
    <row r="54" spans="1:11" ht="15.75">
      <c r="A54" s="268" t="s">
        <v>636</v>
      </c>
      <c r="B54" s="356" t="s">
        <v>644</v>
      </c>
      <c r="C54" s="358"/>
      <c r="D54" s="269">
        <f>D55+D57+D83+D96+D104+D106+D108+D110+D117</f>
        <v>34223</v>
      </c>
      <c r="E54" s="269">
        <f t="shared" ref="E54" si="6">E55+E57+E83+E96+E104+E106+E108+E110+E117</f>
        <v>34223</v>
      </c>
      <c r="F54" s="269">
        <f t="shared" ref="F54:I54" si="7">F55+F57+F83+F96+F104+F106+F108+F110+F117</f>
        <v>0</v>
      </c>
      <c r="G54" s="269">
        <f t="shared" si="5"/>
        <v>9</v>
      </c>
      <c r="H54" s="269">
        <f t="shared" si="7"/>
        <v>0</v>
      </c>
      <c r="I54" s="269">
        <f t="shared" si="7"/>
        <v>9</v>
      </c>
      <c r="J54" s="278">
        <f>G54/D54*100</f>
        <v>2.6298103614528244E-2</v>
      </c>
      <c r="K54" s="270"/>
    </row>
    <row r="55" spans="1:11" s="235" customFormat="1" ht="15.75">
      <c r="A55" s="245" t="s">
        <v>3</v>
      </c>
      <c r="B55" s="246" t="s">
        <v>36</v>
      </c>
      <c r="C55" s="234"/>
      <c r="D55" s="247">
        <f>D56</f>
        <v>3679</v>
      </c>
      <c r="E55" s="247">
        <f>E56</f>
        <v>3679</v>
      </c>
      <c r="F55" s="247">
        <f t="shared" ref="F55:I55" si="8">F56</f>
        <v>0</v>
      </c>
      <c r="G55" s="64">
        <f t="shared" si="5"/>
        <v>0</v>
      </c>
      <c r="H55" s="247">
        <f t="shared" si="8"/>
        <v>0</v>
      </c>
      <c r="I55" s="247">
        <f t="shared" si="8"/>
        <v>0</v>
      </c>
      <c r="J55" s="278">
        <f t="shared" ref="J55:J68" si="9">G55/D55*100</f>
        <v>0</v>
      </c>
      <c r="K55" s="248"/>
    </row>
    <row r="56" spans="1:11" s="230" customFormat="1" ht="15.75">
      <c r="A56" s="236" t="s">
        <v>56</v>
      </c>
      <c r="B56" s="249" t="s">
        <v>67</v>
      </c>
      <c r="C56" s="234" t="s">
        <v>67</v>
      </c>
      <c r="D56" s="68">
        <f>E56</f>
        <v>3679</v>
      </c>
      <c r="E56" s="68">
        <v>3679</v>
      </c>
      <c r="F56" s="68"/>
      <c r="G56" s="64">
        <f t="shared" si="5"/>
        <v>0</v>
      </c>
      <c r="H56" s="243"/>
      <c r="I56" s="243"/>
      <c r="J56" s="278">
        <f t="shared" si="9"/>
        <v>0</v>
      </c>
      <c r="K56" s="244"/>
    </row>
    <row r="57" spans="1:11" s="230" customFormat="1" ht="15.75">
      <c r="A57" s="233" t="s">
        <v>5</v>
      </c>
      <c r="B57" s="246" t="s">
        <v>320</v>
      </c>
      <c r="C57" s="234"/>
      <c r="D57" s="247">
        <f>D58+D70</f>
        <v>14513.8</v>
      </c>
      <c r="E57" s="247">
        <f>E58+E70</f>
        <v>14513.8</v>
      </c>
      <c r="F57" s="247">
        <f t="shared" ref="F57:I57" si="10">F58+F70</f>
        <v>0</v>
      </c>
      <c r="G57" s="247">
        <f t="shared" si="5"/>
        <v>9</v>
      </c>
      <c r="H57" s="247">
        <f t="shared" si="10"/>
        <v>0</v>
      </c>
      <c r="I57" s="247">
        <f t="shared" si="10"/>
        <v>9</v>
      </c>
      <c r="J57" s="278">
        <f t="shared" si="9"/>
        <v>6.2009949151841694E-2</v>
      </c>
      <c r="K57" s="248"/>
    </row>
    <row r="58" spans="1:11" s="256" customFormat="1" ht="15.75">
      <c r="A58" s="250">
        <v>1</v>
      </c>
      <c r="B58" s="251" t="s">
        <v>321</v>
      </c>
      <c r="C58" s="252"/>
      <c r="D58" s="253">
        <f>SUM(D59:D69)</f>
        <v>2758.8</v>
      </c>
      <c r="E58" s="253">
        <f>SUM(E59:E69)</f>
        <v>2758.8</v>
      </c>
      <c r="F58" s="253">
        <f t="shared" ref="F58:I58" si="11">SUM(F59:F69)</f>
        <v>0</v>
      </c>
      <c r="G58" s="253">
        <f t="shared" si="5"/>
        <v>9</v>
      </c>
      <c r="H58" s="253">
        <f t="shared" si="11"/>
        <v>0</v>
      </c>
      <c r="I58" s="253">
        <f t="shared" si="11"/>
        <v>9</v>
      </c>
      <c r="J58" s="278">
        <f t="shared" si="9"/>
        <v>0.32622879512831665</v>
      </c>
      <c r="K58" s="255"/>
    </row>
    <row r="59" spans="1:11" s="230" customFormat="1" ht="15.75">
      <c r="A59" s="242">
        <v>1</v>
      </c>
      <c r="B59" s="231" t="s">
        <v>61</v>
      </c>
      <c r="C59" s="232" t="s">
        <v>61</v>
      </c>
      <c r="D59" s="68">
        <f>E59</f>
        <v>303.04999999999995</v>
      </c>
      <c r="E59" s="68">
        <f>29*10.45</f>
        <v>303.04999999999995</v>
      </c>
      <c r="F59" s="68"/>
      <c r="G59" s="64">
        <f t="shared" si="5"/>
        <v>0</v>
      </c>
      <c r="H59" s="43"/>
      <c r="I59" s="43"/>
      <c r="J59" s="278">
        <f t="shared" si="9"/>
        <v>0</v>
      </c>
      <c r="K59" s="244"/>
    </row>
    <row r="60" spans="1:11" s="230" customFormat="1" ht="15.75">
      <c r="A60" s="242">
        <v>2</v>
      </c>
      <c r="B60" s="231" t="s">
        <v>50</v>
      </c>
      <c r="C60" s="232" t="s">
        <v>50</v>
      </c>
      <c r="D60" s="68">
        <f t="shared" ref="D60:D69" si="12">E60</f>
        <v>303.04999999999995</v>
      </c>
      <c r="E60" s="68">
        <f>10.45*29</f>
        <v>303.04999999999995</v>
      </c>
      <c r="F60" s="68"/>
      <c r="G60" s="64">
        <f t="shared" si="5"/>
        <v>0</v>
      </c>
      <c r="H60" s="43"/>
      <c r="I60" s="43"/>
      <c r="J60" s="278">
        <f t="shared" si="9"/>
        <v>0</v>
      </c>
      <c r="K60" s="244"/>
    </row>
    <row r="61" spans="1:11" s="230" customFormat="1" ht="15.75">
      <c r="A61" s="242">
        <v>3</v>
      </c>
      <c r="B61" s="231" t="s">
        <v>41</v>
      </c>
      <c r="C61" s="232" t="s">
        <v>41</v>
      </c>
      <c r="D61" s="68">
        <f t="shared" si="12"/>
        <v>365.75</v>
      </c>
      <c r="E61" s="68">
        <f>35*10.45</f>
        <v>365.75</v>
      </c>
      <c r="F61" s="68"/>
      <c r="G61" s="64">
        <f t="shared" si="5"/>
        <v>0</v>
      </c>
      <c r="H61" s="43"/>
      <c r="I61" s="43"/>
      <c r="J61" s="278">
        <f t="shared" si="9"/>
        <v>0</v>
      </c>
      <c r="K61" s="244"/>
    </row>
    <row r="62" spans="1:11" s="230" customFormat="1" ht="15.75">
      <c r="A62" s="242">
        <v>4</v>
      </c>
      <c r="B62" s="231" t="s">
        <v>62</v>
      </c>
      <c r="C62" s="232" t="s">
        <v>62</v>
      </c>
      <c r="D62" s="68">
        <f t="shared" si="12"/>
        <v>261.25</v>
      </c>
      <c r="E62" s="68">
        <f>10.45*25</f>
        <v>261.25</v>
      </c>
      <c r="F62" s="68"/>
      <c r="G62" s="64">
        <f t="shared" si="5"/>
        <v>0</v>
      </c>
      <c r="H62" s="43"/>
      <c r="I62" s="43"/>
      <c r="J62" s="278">
        <f t="shared" si="9"/>
        <v>0</v>
      </c>
      <c r="K62" s="244"/>
    </row>
    <row r="63" spans="1:11" s="230" customFormat="1" ht="15.75">
      <c r="A63" s="242">
        <v>5</v>
      </c>
      <c r="B63" s="231" t="s">
        <v>51</v>
      </c>
      <c r="C63" s="232" t="s">
        <v>51</v>
      </c>
      <c r="D63" s="68">
        <f t="shared" si="12"/>
        <v>334.4</v>
      </c>
      <c r="E63" s="68">
        <f>10.45*32</f>
        <v>334.4</v>
      </c>
      <c r="F63" s="68"/>
      <c r="G63" s="64">
        <f t="shared" si="5"/>
        <v>0</v>
      </c>
      <c r="H63" s="43"/>
      <c r="I63" s="43"/>
      <c r="J63" s="278">
        <f t="shared" si="9"/>
        <v>0</v>
      </c>
      <c r="K63" s="244"/>
    </row>
    <row r="64" spans="1:11" s="230" customFormat="1" ht="15.75">
      <c r="A64" s="242">
        <v>6</v>
      </c>
      <c r="B64" s="231" t="s">
        <v>44</v>
      </c>
      <c r="C64" s="232" t="s">
        <v>44</v>
      </c>
      <c r="D64" s="68">
        <f t="shared" si="12"/>
        <v>125.39999999999999</v>
      </c>
      <c r="E64" s="68">
        <f>10.45*12</f>
        <v>125.39999999999999</v>
      </c>
      <c r="F64" s="68"/>
      <c r="G64" s="64">
        <f t="shared" si="5"/>
        <v>0</v>
      </c>
      <c r="H64" s="43"/>
      <c r="I64" s="43"/>
      <c r="J64" s="278">
        <f t="shared" si="9"/>
        <v>0</v>
      </c>
      <c r="K64" s="244"/>
    </row>
    <row r="65" spans="1:11" s="230" customFormat="1" ht="15.75">
      <c r="A65" s="242">
        <v>7</v>
      </c>
      <c r="B65" s="231" t="s">
        <v>45</v>
      </c>
      <c r="C65" s="232" t="s">
        <v>45</v>
      </c>
      <c r="D65" s="68">
        <f t="shared" si="12"/>
        <v>313.5</v>
      </c>
      <c r="E65" s="68">
        <f>10.45*30</f>
        <v>313.5</v>
      </c>
      <c r="F65" s="68"/>
      <c r="G65" s="64">
        <f t="shared" si="5"/>
        <v>0</v>
      </c>
      <c r="H65" s="43"/>
      <c r="I65" s="43"/>
      <c r="J65" s="278">
        <f t="shared" si="9"/>
        <v>0</v>
      </c>
      <c r="K65" s="244"/>
    </row>
    <row r="66" spans="1:11" s="230" customFormat="1" ht="15.75">
      <c r="A66" s="242">
        <v>8</v>
      </c>
      <c r="B66" s="231" t="s">
        <v>63</v>
      </c>
      <c r="C66" s="232" t="s">
        <v>63</v>
      </c>
      <c r="D66" s="68">
        <f t="shared" si="12"/>
        <v>209</v>
      </c>
      <c r="E66" s="68">
        <f>10.45*20</f>
        <v>209</v>
      </c>
      <c r="F66" s="68"/>
      <c r="G66" s="64">
        <f t="shared" si="5"/>
        <v>0</v>
      </c>
      <c r="H66" s="43"/>
      <c r="I66" s="43"/>
      <c r="J66" s="278">
        <f t="shared" si="9"/>
        <v>0</v>
      </c>
      <c r="K66" s="244"/>
    </row>
    <row r="67" spans="1:11" s="230" customFormat="1" ht="15.75">
      <c r="A67" s="242">
        <v>9</v>
      </c>
      <c r="B67" s="231" t="s">
        <v>64</v>
      </c>
      <c r="C67" s="232" t="s">
        <v>64</v>
      </c>
      <c r="D67" s="68">
        <f t="shared" si="12"/>
        <v>146.29999999999998</v>
      </c>
      <c r="E67" s="68">
        <f>10.45*14</f>
        <v>146.29999999999998</v>
      </c>
      <c r="F67" s="68"/>
      <c r="G67" s="64">
        <f t="shared" si="5"/>
        <v>0</v>
      </c>
      <c r="H67" s="43"/>
      <c r="I67" s="43"/>
      <c r="J67" s="278">
        <f t="shared" si="9"/>
        <v>0</v>
      </c>
      <c r="K67" s="244"/>
    </row>
    <row r="68" spans="1:11" s="230" customFormat="1" ht="15.75">
      <c r="A68" s="242">
        <v>10</v>
      </c>
      <c r="B68" s="231" t="s">
        <v>65</v>
      </c>
      <c r="C68" s="232" t="s">
        <v>65</v>
      </c>
      <c r="D68" s="68">
        <f t="shared" si="12"/>
        <v>167.2</v>
      </c>
      <c r="E68" s="68">
        <f>10.45*16</f>
        <v>167.2</v>
      </c>
      <c r="F68" s="68"/>
      <c r="G68" s="64">
        <f t="shared" si="5"/>
        <v>0</v>
      </c>
      <c r="H68" s="43"/>
      <c r="I68" s="43"/>
      <c r="J68" s="278">
        <f t="shared" si="9"/>
        <v>0</v>
      </c>
      <c r="K68" s="244"/>
    </row>
    <row r="69" spans="1:11" s="230" customFormat="1" ht="15.75">
      <c r="A69" s="242">
        <v>11</v>
      </c>
      <c r="B69" s="231" t="s">
        <v>43</v>
      </c>
      <c r="C69" s="232" t="s">
        <v>43</v>
      </c>
      <c r="D69" s="68">
        <f t="shared" si="12"/>
        <v>229.89999999999998</v>
      </c>
      <c r="E69" s="68">
        <f>10.45*22</f>
        <v>229.89999999999998</v>
      </c>
      <c r="F69" s="68"/>
      <c r="G69" s="64">
        <f t="shared" si="5"/>
        <v>9</v>
      </c>
      <c r="H69" s="43"/>
      <c r="I69" s="43">
        <v>9</v>
      </c>
      <c r="J69" s="278">
        <f>G69/D69*100</f>
        <v>3.9147455415398005</v>
      </c>
      <c r="K69" s="244"/>
    </row>
    <row r="70" spans="1:11" s="256" customFormat="1" ht="15.75">
      <c r="A70" s="250">
        <v>2</v>
      </c>
      <c r="B70" s="251" t="s">
        <v>322</v>
      </c>
      <c r="C70" s="252"/>
      <c r="D70" s="253">
        <f>SUM(D71:D82)</f>
        <v>11755</v>
      </c>
      <c r="E70" s="253">
        <f>SUM(E71:E82)</f>
        <v>11755</v>
      </c>
      <c r="F70" s="253"/>
      <c r="G70" s="64">
        <f t="shared" si="5"/>
        <v>0</v>
      </c>
      <c r="H70" s="254"/>
      <c r="I70" s="254"/>
      <c r="J70" s="278">
        <f t="shared" ref="J70:J119" si="13">G70/D70*100</f>
        <v>0</v>
      </c>
      <c r="K70" s="255"/>
    </row>
    <row r="71" spans="1:11" s="230" customFormat="1" ht="15.75">
      <c r="A71" s="236" t="s">
        <v>35</v>
      </c>
      <c r="B71" s="249" t="s">
        <v>311</v>
      </c>
      <c r="C71" s="234" t="s">
        <v>611</v>
      </c>
      <c r="D71" s="68">
        <f>E71</f>
        <v>2169</v>
      </c>
      <c r="E71" s="68">
        <f>1179+990</f>
        <v>2169</v>
      </c>
      <c r="F71" s="68"/>
      <c r="G71" s="64">
        <f t="shared" si="5"/>
        <v>0</v>
      </c>
      <c r="H71" s="243"/>
      <c r="I71" s="243"/>
      <c r="J71" s="278">
        <f t="shared" si="13"/>
        <v>0</v>
      </c>
      <c r="K71" s="244"/>
    </row>
    <row r="72" spans="1:11" s="230" customFormat="1" ht="15.75">
      <c r="A72" s="242">
        <v>1</v>
      </c>
      <c r="B72" s="231" t="s">
        <v>61</v>
      </c>
      <c r="C72" s="232" t="s">
        <v>61</v>
      </c>
      <c r="D72" s="68">
        <f>E72</f>
        <v>854</v>
      </c>
      <c r="E72" s="68">
        <f>940-86</f>
        <v>854</v>
      </c>
      <c r="F72" s="68"/>
      <c r="G72" s="64">
        <f t="shared" si="5"/>
        <v>0</v>
      </c>
      <c r="H72" s="43"/>
      <c r="I72" s="43"/>
      <c r="J72" s="278">
        <f t="shared" si="13"/>
        <v>0</v>
      </c>
      <c r="K72" s="244"/>
    </row>
    <row r="73" spans="1:11" s="230" customFormat="1" ht="15.75">
      <c r="A73" s="242">
        <v>2</v>
      </c>
      <c r="B73" s="231" t="s">
        <v>50</v>
      </c>
      <c r="C73" s="232" t="s">
        <v>50</v>
      </c>
      <c r="D73" s="68">
        <f t="shared" ref="D73:D82" si="14">E73</f>
        <v>926</v>
      </c>
      <c r="E73" s="68">
        <f>1016-90</f>
        <v>926</v>
      </c>
      <c r="F73" s="68"/>
      <c r="G73" s="64">
        <f t="shared" si="5"/>
        <v>0</v>
      </c>
      <c r="H73" s="43"/>
      <c r="I73" s="43"/>
      <c r="J73" s="278">
        <f t="shared" si="13"/>
        <v>0</v>
      </c>
      <c r="K73" s="244"/>
    </row>
    <row r="74" spans="1:11" s="230" customFormat="1" ht="15.75">
      <c r="A74" s="242">
        <v>3</v>
      </c>
      <c r="B74" s="231" t="s">
        <v>41</v>
      </c>
      <c r="C74" s="232" t="s">
        <v>41</v>
      </c>
      <c r="D74" s="68">
        <f t="shared" si="14"/>
        <v>865</v>
      </c>
      <c r="E74" s="68">
        <f>952-87</f>
        <v>865</v>
      </c>
      <c r="F74" s="68"/>
      <c r="G74" s="64">
        <f t="shared" si="5"/>
        <v>0</v>
      </c>
      <c r="H74" s="43"/>
      <c r="I74" s="43"/>
      <c r="J74" s="278">
        <f t="shared" si="13"/>
        <v>0</v>
      </c>
      <c r="K74" s="244"/>
    </row>
    <row r="75" spans="1:11" s="230" customFormat="1" ht="15.75">
      <c r="A75" s="242">
        <v>4</v>
      </c>
      <c r="B75" s="231" t="s">
        <v>62</v>
      </c>
      <c r="C75" s="232" t="s">
        <v>62</v>
      </c>
      <c r="D75" s="68">
        <f t="shared" si="14"/>
        <v>830</v>
      </c>
      <c r="E75" s="68">
        <f>915-85</f>
        <v>830</v>
      </c>
      <c r="F75" s="68"/>
      <c r="G75" s="64">
        <f t="shared" si="5"/>
        <v>0</v>
      </c>
      <c r="H75" s="43"/>
      <c r="I75" s="43"/>
      <c r="J75" s="278">
        <f t="shared" si="13"/>
        <v>0</v>
      </c>
      <c r="K75" s="244"/>
    </row>
    <row r="76" spans="1:11" s="230" customFormat="1" ht="15.75">
      <c r="A76" s="242">
        <v>5</v>
      </c>
      <c r="B76" s="231" t="s">
        <v>51</v>
      </c>
      <c r="C76" s="232" t="s">
        <v>51</v>
      </c>
      <c r="D76" s="68">
        <f t="shared" si="14"/>
        <v>812</v>
      </c>
      <c r="E76" s="68">
        <f>903-91</f>
        <v>812</v>
      </c>
      <c r="F76" s="68"/>
      <c r="G76" s="64">
        <f t="shared" si="5"/>
        <v>0</v>
      </c>
      <c r="H76" s="43"/>
      <c r="I76" s="43"/>
      <c r="J76" s="278">
        <f t="shared" si="13"/>
        <v>0</v>
      </c>
      <c r="K76" s="244"/>
    </row>
    <row r="77" spans="1:11" ht="15.75">
      <c r="A77" s="30">
        <v>6</v>
      </c>
      <c r="B77" s="29" t="s">
        <v>44</v>
      </c>
      <c r="C77" s="46" t="s">
        <v>44</v>
      </c>
      <c r="D77" s="68">
        <f t="shared" si="14"/>
        <v>911</v>
      </c>
      <c r="E77" s="65">
        <f>1004-93</f>
        <v>911</v>
      </c>
      <c r="F77" s="65"/>
      <c r="G77" s="64">
        <f t="shared" si="5"/>
        <v>0</v>
      </c>
      <c r="H77" s="43"/>
      <c r="I77" s="43"/>
      <c r="J77" s="278">
        <f t="shared" si="13"/>
        <v>0</v>
      </c>
      <c r="K77" s="31"/>
    </row>
    <row r="78" spans="1:11" ht="15.75">
      <c r="A78" s="30">
        <v>7</v>
      </c>
      <c r="B78" s="29" t="s">
        <v>45</v>
      </c>
      <c r="C78" s="46" t="s">
        <v>45</v>
      </c>
      <c r="D78" s="68">
        <f t="shared" si="14"/>
        <v>897</v>
      </c>
      <c r="E78" s="65">
        <f>991-94</f>
        <v>897</v>
      </c>
      <c r="F78" s="65"/>
      <c r="G78" s="64">
        <f t="shared" si="5"/>
        <v>0</v>
      </c>
      <c r="H78" s="43"/>
      <c r="I78" s="43"/>
      <c r="J78" s="278">
        <f t="shared" si="13"/>
        <v>0</v>
      </c>
      <c r="K78" s="31"/>
    </row>
    <row r="79" spans="1:11" ht="15.75">
      <c r="A79" s="30">
        <v>8</v>
      </c>
      <c r="B79" s="29" t="s">
        <v>63</v>
      </c>
      <c r="C79" s="46" t="s">
        <v>63</v>
      </c>
      <c r="D79" s="68">
        <f t="shared" si="14"/>
        <v>916</v>
      </c>
      <c r="E79" s="65">
        <f>1006-90</f>
        <v>916</v>
      </c>
      <c r="F79" s="65"/>
      <c r="G79" s="64">
        <f t="shared" si="5"/>
        <v>0</v>
      </c>
      <c r="H79" s="43"/>
      <c r="I79" s="43"/>
      <c r="J79" s="278">
        <f t="shared" si="13"/>
        <v>0</v>
      </c>
      <c r="K79" s="31"/>
    </row>
    <row r="80" spans="1:11" ht="15.75">
      <c r="A80" s="30">
        <v>9</v>
      </c>
      <c r="B80" s="29" t="s">
        <v>64</v>
      </c>
      <c r="C80" s="46" t="s">
        <v>64</v>
      </c>
      <c r="D80" s="68">
        <f t="shared" si="14"/>
        <v>810</v>
      </c>
      <c r="E80" s="65">
        <f>903-93</f>
        <v>810</v>
      </c>
      <c r="F80" s="65"/>
      <c r="G80" s="64">
        <f t="shared" si="5"/>
        <v>0</v>
      </c>
      <c r="H80" s="43"/>
      <c r="I80" s="43"/>
      <c r="J80" s="278">
        <f t="shared" si="13"/>
        <v>0</v>
      </c>
      <c r="K80" s="31"/>
    </row>
    <row r="81" spans="1:11" ht="15.75">
      <c r="A81" s="30">
        <v>10</v>
      </c>
      <c r="B81" s="29" t="s">
        <v>65</v>
      </c>
      <c r="C81" s="46" t="s">
        <v>65</v>
      </c>
      <c r="D81" s="68">
        <f t="shared" si="14"/>
        <v>871</v>
      </c>
      <c r="E81" s="65">
        <f>961-90</f>
        <v>871</v>
      </c>
      <c r="F81" s="65"/>
      <c r="G81" s="64">
        <f t="shared" si="5"/>
        <v>0</v>
      </c>
      <c r="H81" s="43"/>
      <c r="I81" s="43"/>
      <c r="J81" s="278">
        <f t="shared" si="13"/>
        <v>0</v>
      </c>
      <c r="K81" s="31"/>
    </row>
    <row r="82" spans="1:11" ht="15.75">
      <c r="A82" s="30">
        <v>11</v>
      </c>
      <c r="B82" s="29" t="s">
        <v>43</v>
      </c>
      <c r="C82" s="46" t="s">
        <v>43</v>
      </c>
      <c r="D82" s="68">
        <f t="shared" si="14"/>
        <v>894</v>
      </c>
      <c r="E82" s="65">
        <f>986-92</f>
        <v>894</v>
      </c>
      <c r="F82" s="65"/>
      <c r="G82" s="64">
        <f t="shared" si="5"/>
        <v>0</v>
      </c>
      <c r="H82" s="43"/>
      <c r="I82" s="43"/>
      <c r="J82" s="278">
        <f t="shared" si="13"/>
        <v>0</v>
      </c>
      <c r="K82" s="31"/>
    </row>
    <row r="83" spans="1:11" ht="15.75">
      <c r="A83" s="30" t="s">
        <v>12</v>
      </c>
      <c r="B83" s="34" t="s">
        <v>32</v>
      </c>
      <c r="C83" s="45"/>
      <c r="D83" s="66">
        <f>SUM(D85:D95)</f>
        <v>3369</v>
      </c>
      <c r="E83" s="66">
        <f>SUM(E85:E95)</f>
        <v>3369</v>
      </c>
      <c r="F83" s="66"/>
      <c r="G83" s="64">
        <f t="shared" si="5"/>
        <v>0</v>
      </c>
      <c r="H83" s="43"/>
      <c r="I83" s="43"/>
      <c r="J83" s="278">
        <f t="shared" si="13"/>
        <v>0</v>
      </c>
      <c r="K83" s="31"/>
    </row>
    <row r="84" spans="1:11" s="60" customFormat="1" ht="15.75">
      <c r="A84" s="55">
        <v>1</v>
      </c>
      <c r="B84" s="56" t="s">
        <v>321</v>
      </c>
      <c r="C84" s="57"/>
      <c r="D84" s="67">
        <f>SUM(D85:D95)</f>
        <v>3369</v>
      </c>
      <c r="E84" s="67">
        <f>SUM(E85:E95)</f>
        <v>3369</v>
      </c>
      <c r="F84" s="67"/>
      <c r="G84" s="64">
        <f t="shared" ref="G84:G117" si="15">H84+I84</f>
        <v>0</v>
      </c>
      <c r="H84" s="58"/>
      <c r="I84" s="58"/>
      <c r="J84" s="278">
        <f t="shared" si="13"/>
        <v>0</v>
      </c>
      <c r="K84" s="59"/>
    </row>
    <row r="85" spans="1:11" ht="15.75">
      <c r="A85" s="30">
        <v>1</v>
      </c>
      <c r="B85" s="29" t="s">
        <v>61</v>
      </c>
      <c r="C85" s="46" t="s">
        <v>61</v>
      </c>
      <c r="D85" s="68">
        <f>E85</f>
        <v>297</v>
      </c>
      <c r="E85" s="65">
        <v>297</v>
      </c>
      <c r="F85" s="65"/>
      <c r="G85" s="64">
        <f t="shared" si="15"/>
        <v>0</v>
      </c>
      <c r="H85" s="43"/>
      <c r="I85" s="43"/>
      <c r="J85" s="278">
        <f t="shared" si="13"/>
        <v>0</v>
      </c>
      <c r="K85" s="31"/>
    </row>
    <row r="86" spans="1:11" ht="15.75">
      <c r="A86" s="30">
        <v>2</v>
      </c>
      <c r="B86" s="29" t="s">
        <v>50</v>
      </c>
      <c r="C86" s="46" t="s">
        <v>50</v>
      </c>
      <c r="D86" s="68">
        <f t="shared" ref="D86:D95" si="16">E86</f>
        <v>331</v>
      </c>
      <c r="E86" s="65">
        <v>331</v>
      </c>
      <c r="F86" s="65"/>
      <c r="G86" s="64">
        <f t="shared" si="15"/>
        <v>0</v>
      </c>
      <c r="H86" s="43"/>
      <c r="I86" s="43"/>
      <c r="J86" s="278">
        <f t="shared" si="13"/>
        <v>0</v>
      </c>
      <c r="K86" s="31"/>
    </row>
    <row r="87" spans="1:11" ht="15.75">
      <c r="A87" s="30">
        <v>3</v>
      </c>
      <c r="B87" s="29" t="s">
        <v>41</v>
      </c>
      <c r="C87" s="46" t="s">
        <v>41</v>
      </c>
      <c r="D87" s="68">
        <f t="shared" si="16"/>
        <v>300</v>
      </c>
      <c r="E87" s="65">
        <v>300</v>
      </c>
      <c r="F87" s="65"/>
      <c r="G87" s="64">
        <f t="shared" si="15"/>
        <v>0</v>
      </c>
      <c r="H87" s="43"/>
      <c r="I87" s="43"/>
      <c r="J87" s="278">
        <f t="shared" si="13"/>
        <v>0</v>
      </c>
      <c r="K87" s="31"/>
    </row>
    <row r="88" spans="1:11" ht="15.75">
      <c r="A88" s="30">
        <v>4</v>
      </c>
      <c r="B88" s="29" t="s">
        <v>62</v>
      </c>
      <c r="C88" s="46" t="s">
        <v>62</v>
      </c>
      <c r="D88" s="68">
        <f t="shared" si="16"/>
        <v>292</v>
      </c>
      <c r="E88" s="65">
        <v>292</v>
      </c>
      <c r="F88" s="65"/>
      <c r="G88" s="64">
        <f t="shared" si="15"/>
        <v>0</v>
      </c>
      <c r="H88" s="43"/>
      <c r="I88" s="43"/>
      <c r="J88" s="278">
        <f t="shared" si="13"/>
        <v>0</v>
      </c>
      <c r="K88" s="31"/>
    </row>
    <row r="89" spans="1:11" ht="15.75">
      <c r="A89" s="30">
        <v>5</v>
      </c>
      <c r="B89" s="29" t="s">
        <v>51</v>
      </c>
      <c r="C89" s="46" t="s">
        <v>51</v>
      </c>
      <c r="D89" s="68">
        <f t="shared" si="16"/>
        <v>289</v>
      </c>
      <c r="E89" s="65">
        <v>289</v>
      </c>
      <c r="F89" s="65"/>
      <c r="G89" s="64">
        <f t="shared" si="15"/>
        <v>0</v>
      </c>
      <c r="H89" s="43"/>
      <c r="I89" s="43"/>
      <c r="J89" s="278">
        <f t="shared" si="13"/>
        <v>0</v>
      </c>
      <c r="K89" s="31"/>
    </row>
    <row r="90" spans="1:11" ht="15.75">
      <c r="A90" s="30">
        <v>6</v>
      </c>
      <c r="B90" s="29" t="s">
        <v>44</v>
      </c>
      <c r="C90" s="46" t="s">
        <v>44</v>
      </c>
      <c r="D90" s="68">
        <f t="shared" si="16"/>
        <v>328</v>
      </c>
      <c r="E90" s="65">
        <v>328</v>
      </c>
      <c r="F90" s="65"/>
      <c r="G90" s="64">
        <f t="shared" si="15"/>
        <v>0</v>
      </c>
      <c r="H90" s="43"/>
      <c r="I90" s="43"/>
      <c r="J90" s="278">
        <f t="shared" si="13"/>
        <v>0</v>
      </c>
      <c r="K90" s="31"/>
    </row>
    <row r="91" spans="1:11" ht="15.75">
      <c r="A91" s="30">
        <v>7</v>
      </c>
      <c r="B91" s="29" t="s">
        <v>45</v>
      </c>
      <c r="C91" s="46" t="s">
        <v>45</v>
      </c>
      <c r="D91" s="68">
        <f t="shared" si="16"/>
        <v>325</v>
      </c>
      <c r="E91" s="65">
        <v>325</v>
      </c>
      <c r="F91" s="65"/>
      <c r="G91" s="64">
        <f t="shared" si="15"/>
        <v>0</v>
      </c>
      <c r="H91" s="43"/>
      <c r="I91" s="43"/>
      <c r="J91" s="278">
        <f t="shared" si="13"/>
        <v>0</v>
      </c>
      <c r="K91" s="31"/>
    </row>
    <row r="92" spans="1:11" ht="15.75">
      <c r="A92" s="30">
        <v>8</v>
      </c>
      <c r="B92" s="29" t="s">
        <v>63</v>
      </c>
      <c r="C92" s="46" t="s">
        <v>63</v>
      </c>
      <c r="D92" s="68">
        <f t="shared" si="16"/>
        <v>311</v>
      </c>
      <c r="E92" s="65">
        <v>311</v>
      </c>
      <c r="F92" s="65"/>
      <c r="G92" s="64">
        <f t="shared" si="15"/>
        <v>0</v>
      </c>
      <c r="H92" s="43"/>
      <c r="I92" s="43"/>
      <c r="J92" s="278">
        <f t="shared" si="13"/>
        <v>0</v>
      </c>
      <c r="K92" s="31"/>
    </row>
    <row r="93" spans="1:11" ht="15.75">
      <c r="A93" s="30">
        <v>9</v>
      </c>
      <c r="B93" s="29" t="s">
        <v>64</v>
      </c>
      <c r="C93" s="46" t="s">
        <v>64</v>
      </c>
      <c r="D93" s="68">
        <f t="shared" si="16"/>
        <v>289</v>
      </c>
      <c r="E93" s="65">
        <v>289</v>
      </c>
      <c r="F93" s="65"/>
      <c r="G93" s="64">
        <f t="shared" si="15"/>
        <v>0</v>
      </c>
      <c r="H93" s="43"/>
      <c r="I93" s="43"/>
      <c r="J93" s="278">
        <f t="shared" si="13"/>
        <v>0</v>
      </c>
      <c r="K93" s="31"/>
    </row>
    <row r="94" spans="1:11" ht="15.75">
      <c r="A94" s="30">
        <v>10</v>
      </c>
      <c r="B94" s="29" t="s">
        <v>65</v>
      </c>
      <c r="C94" s="46" t="s">
        <v>65</v>
      </c>
      <c r="D94" s="68">
        <f t="shared" si="16"/>
        <v>301</v>
      </c>
      <c r="E94" s="65">
        <v>301</v>
      </c>
      <c r="F94" s="65"/>
      <c r="G94" s="64">
        <f t="shared" si="15"/>
        <v>0</v>
      </c>
      <c r="H94" s="43"/>
      <c r="I94" s="43"/>
      <c r="J94" s="278">
        <f t="shared" si="13"/>
        <v>0</v>
      </c>
      <c r="K94" s="31"/>
    </row>
    <row r="95" spans="1:11" ht="15.75">
      <c r="A95" s="30">
        <v>11</v>
      </c>
      <c r="B95" s="29" t="s">
        <v>43</v>
      </c>
      <c r="C95" s="46" t="s">
        <v>43</v>
      </c>
      <c r="D95" s="68">
        <f t="shared" si="16"/>
        <v>306</v>
      </c>
      <c r="E95" s="65">
        <v>306</v>
      </c>
      <c r="F95" s="65"/>
      <c r="G95" s="64">
        <f t="shared" si="15"/>
        <v>0</v>
      </c>
      <c r="H95" s="43"/>
      <c r="I95" s="43"/>
      <c r="J95" s="278">
        <f t="shared" si="13"/>
        <v>0</v>
      </c>
      <c r="K95" s="31"/>
    </row>
    <row r="96" spans="1:11" s="28" customFormat="1" ht="15.75">
      <c r="A96" s="35" t="s">
        <v>13</v>
      </c>
      <c r="B96" s="34" t="s">
        <v>323</v>
      </c>
      <c r="C96" s="54"/>
      <c r="D96" s="66">
        <f>D97+D99+D102</f>
        <v>4018</v>
      </c>
      <c r="E96" s="66">
        <f t="shared" ref="E96:H96" si="17">E97+E99+E102</f>
        <v>4018</v>
      </c>
      <c r="F96" s="66"/>
      <c r="G96" s="64">
        <f t="shared" si="15"/>
        <v>0</v>
      </c>
      <c r="H96" s="41">
        <f t="shared" si="17"/>
        <v>0</v>
      </c>
      <c r="I96" s="41"/>
      <c r="J96" s="278">
        <f t="shared" si="13"/>
        <v>0</v>
      </c>
      <c r="K96" s="32"/>
    </row>
    <row r="97" spans="1:11" s="60" customFormat="1" ht="15.75">
      <c r="A97" s="55">
        <v>1</v>
      </c>
      <c r="B97" s="56" t="s">
        <v>321</v>
      </c>
      <c r="C97" s="57"/>
      <c r="D97" s="67">
        <f>D98</f>
        <v>413</v>
      </c>
      <c r="E97" s="67">
        <f>E98</f>
        <v>413</v>
      </c>
      <c r="F97" s="67"/>
      <c r="G97" s="64">
        <f t="shared" si="15"/>
        <v>0</v>
      </c>
      <c r="H97" s="58"/>
      <c r="I97" s="58"/>
      <c r="J97" s="278">
        <f t="shared" si="13"/>
        <v>0</v>
      </c>
      <c r="K97" s="59"/>
    </row>
    <row r="98" spans="1:11" ht="30">
      <c r="A98" s="33" t="s">
        <v>57</v>
      </c>
      <c r="B98" s="36" t="s">
        <v>313</v>
      </c>
      <c r="C98" s="45" t="s">
        <v>313</v>
      </c>
      <c r="D98" s="65">
        <f>E98</f>
        <v>413</v>
      </c>
      <c r="E98" s="65">
        <v>413</v>
      </c>
      <c r="F98" s="65"/>
      <c r="G98" s="64">
        <f t="shared" si="15"/>
        <v>0</v>
      </c>
      <c r="H98" s="40"/>
      <c r="I98" s="40"/>
      <c r="J98" s="278">
        <f t="shared" si="13"/>
        <v>0</v>
      </c>
      <c r="K98" s="31"/>
    </row>
    <row r="99" spans="1:11" s="60" customFormat="1" ht="15.75">
      <c r="A99" s="55">
        <v>2</v>
      </c>
      <c r="B99" s="56" t="s">
        <v>325</v>
      </c>
      <c r="C99" s="57"/>
      <c r="D99" s="67">
        <f>SUM(D100:D101)</f>
        <v>3000</v>
      </c>
      <c r="E99" s="67">
        <f>SUM(E100:E101)</f>
        <v>3000</v>
      </c>
      <c r="F99" s="67"/>
      <c r="G99" s="64">
        <f t="shared" si="15"/>
        <v>0</v>
      </c>
      <c r="H99" s="58"/>
      <c r="I99" s="58"/>
      <c r="J99" s="278">
        <f t="shared" si="13"/>
        <v>0</v>
      </c>
      <c r="K99" s="59"/>
    </row>
    <row r="100" spans="1:11" ht="24" customHeight="1">
      <c r="A100" s="33" t="s">
        <v>28</v>
      </c>
      <c r="B100" s="36" t="s">
        <v>311</v>
      </c>
      <c r="C100" s="45" t="s">
        <v>611</v>
      </c>
      <c r="D100" s="65">
        <f t="shared" ref="D100" si="18">E100</f>
        <v>1500</v>
      </c>
      <c r="E100" s="65">
        <v>1500</v>
      </c>
      <c r="F100" s="65"/>
      <c r="G100" s="64">
        <f t="shared" si="15"/>
        <v>0</v>
      </c>
      <c r="H100" s="40"/>
      <c r="I100" s="40"/>
      <c r="J100" s="278">
        <f t="shared" si="13"/>
        <v>0</v>
      </c>
      <c r="K100" s="31"/>
    </row>
    <row r="101" spans="1:11" ht="30">
      <c r="A101" s="33" t="s">
        <v>109</v>
      </c>
      <c r="B101" s="37" t="s">
        <v>39</v>
      </c>
      <c r="C101" s="47" t="s">
        <v>39</v>
      </c>
      <c r="D101" s="65">
        <f>E101</f>
        <v>1500</v>
      </c>
      <c r="E101" s="65">
        <v>1500</v>
      </c>
      <c r="F101" s="65"/>
      <c r="G101" s="64">
        <f t="shared" si="15"/>
        <v>0</v>
      </c>
      <c r="H101" s="40"/>
      <c r="I101" s="40"/>
      <c r="J101" s="278">
        <f t="shared" si="13"/>
        <v>0</v>
      </c>
      <c r="K101" s="31"/>
    </row>
    <row r="102" spans="1:11" s="60" customFormat="1" ht="15.75">
      <c r="A102" s="55">
        <v>3</v>
      </c>
      <c r="B102" s="56" t="s">
        <v>324</v>
      </c>
      <c r="C102" s="57"/>
      <c r="D102" s="67">
        <f>D103</f>
        <v>605</v>
      </c>
      <c r="E102" s="67">
        <f>E103</f>
        <v>605</v>
      </c>
      <c r="F102" s="67"/>
      <c r="G102" s="64">
        <f t="shared" si="15"/>
        <v>0</v>
      </c>
      <c r="H102" s="58"/>
      <c r="I102" s="58"/>
      <c r="J102" s="278">
        <f t="shared" si="13"/>
        <v>0</v>
      </c>
      <c r="K102" s="59"/>
    </row>
    <row r="103" spans="1:11" ht="15.75">
      <c r="A103" s="33" t="s">
        <v>28</v>
      </c>
      <c r="B103" s="36" t="s">
        <v>67</v>
      </c>
      <c r="C103" s="45" t="s">
        <v>67</v>
      </c>
      <c r="D103" s="65">
        <f>E103</f>
        <v>605</v>
      </c>
      <c r="E103" s="65">
        <v>605</v>
      </c>
      <c r="F103" s="65"/>
      <c r="G103" s="64">
        <f t="shared" si="15"/>
        <v>0</v>
      </c>
      <c r="H103" s="40"/>
      <c r="I103" s="40"/>
      <c r="J103" s="278">
        <f t="shared" si="13"/>
        <v>0</v>
      </c>
      <c r="K103" s="31"/>
    </row>
    <row r="104" spans="1:11" s="28" customFormat="1" ht="15.75">
      <c r="A104" s="35" t="s">
        <v>139</v>
      </c>
      <c r="B104" s="34" t="s">
        <v>37</v>
      </c>
      <c r="C104" s="45"/>
      <c r="D104" s="66">
        <f>D105</f>
        <v>464</v>
      </c>
      <c r="E104" s="66">
        <f>E105</f>
        <v>464</v>
      </c>
      <c r="F104" s="66"/>
      <c r="G104" s="64">
        <f t="shared" si="15"/>
        <v>0</v>
      </c>
      <c r="H104" s="41"/>
      <c r="I104" s="41"/>
      <c r="J104" s="278">
        <f t="shared" si="13"/>
        <v>0</v>
      </c>
      <c r="K104" s="32"/>
    </row>
    <row r="105" spans="1:11" ht="30">
      <c r="A105" s="33" t="s">
        <v>28</v>
      </c>
      <c r="B105" s="38" t="s">
        <v>309</v>
      </c>
      <c r="C105" s="48" t="s">
        <v>633</v>
      </c>
      <c r="D105" s="65">
        <f>E105</f>
        <v>464</v>
      </c>
      <c r="E105" s="65">
        <v>464</v>
      </c>
      <c r="F105" s="65"/>
      <c r="G105" s="64">
        <f t="shared" si="15"/>
        <v>0</v>
      </c>
      <c r="H105" s="40"/>
      <c r="I105" s="40"/>
      <c r="J105" s="278">
        <f t="shared" si="13"/>
        <v>0</v>
      </c>
      <c r="K105" s="31"/>
    </row>
    <row r="106" spans="1:11" s="28" customFormat="1" ht="15.75">
      <c r="A106" s="35" t="s">
        <v>14</v>
      </c>
      <c r="B106" s="34" t="s">
        <v>312</v>
      </c>
      <c r="C106" s="45"/>
      <c r="D106" s="66">
        <f>D107</f>
        <v>1280</v>
      </c>
      <c r="E106" s="66">
        <f>E107</f>
        <v>1280</v>
      </c>
      <c r="F106" s="66"/>
      <c r="G106" s="64">
        <f t="shared" si="15"/>
        <v>0</v>
      </c>
      <c r="H106" s="41"/>
      <c r="I106" s="41"/>
      <c r="J106" s="278">
        <f t="shared" si="13"/>
        <v>0</v>
      </c>
      <c r="K106" s="32"/>
    </row>
    <row r="107" spans="1:11" ht="15.75">
      <c r="A107" s="33" t="s">
        <v>58</v>
      </c>
      <c r="B107" s="36" t="s">
        <v>68</v>
      </c>
      <c r="C107" s="45" t="s">
        <v>68</v>
      </c>
      <c r="D107" s="65">
        <f>E107</f>
        <v>1280</v>
      </c>
      <c r="E107" s="65">
        <v>1280</v>
      </c>
      <c r="F107" s="65"/>
      <c r="G107" s="64">
        <f t="shared" si="15"/>
        <v>0</v>
      </c>
      <c r="H107" s="40"/>
      <c r="I107" s="40"/>
      <c r="J107" s="278">
        <f t="shared" si="13"/>
        <v>0</v>
      </c>
      <c r="K107" s="31"/>
    </row>
    <row r="108" spans="1:11" s="28" customFormat="1" ht="15.75">
      <c r="A108" s="35" t="s">
        <v>15</v>
      </c>
      <c r="B108" s="34" t="s">
        <v>314</v>
      </c>
      <c r="C108" s="54"/>
      <c r="D108" s="66">
        <f t="shared" ref="D108:D109" si="19">E108</f>
        <v>323</v>
      </c>
      <c r="E108" s="66">
        <f>E109</f>
        <v>323</v>
      </c>
      <c r="F108" s="66"/>
      <c r="G108" s="64">
        <f t="shared" si="15"/>
        <v>0</v>
      </c>
      <c r="H108" s="41"/>
      <c r="I108" s="41"/>
      <c r="J108" s="278">
        <f t="shared" si="13"/>
        <v>0</v>
      </c>
      <c r="K108" s="32"/>
    </row>
    <row r="109" spans="1:11" ht="15.75">
      <c r="A109" s="33" t="s">
        <v>59</v>
      </c>
      <c r="B109" s="36" t="s">
        <v>69</v>
      </c>
      <c r="C109" s="45" t="s">
        <v>69</v>
      </c>
      <c r="D109" s="65">
        <f t="shared" si="19"/>
        <v>323</v>
      </c>
      <c r="E109" s="65">
        <v>323</v>
      </c>
      <c r="F109" s="65"/>
      <c r="G109" s="64">
        <f t="shared" si="15"/>
        <v>0</v>
      </c>
      <c r="H109" s="40"/>
      <c r="I109" s="40"/>
      <c r="J109" s="278">
        <f t="shared" si="13"/>
        <v>0</v>
      </c>
      <c r="K109" s="31"/>
    </row>
    <row r="110" spans="1:11" s="28" customFormat="1" ht="15.75">
      <c r="A110" s="35" t="s">
        <v>319</v>
      </c>
      <c r="B110" s="34" t="s">
        <v>326</v>
      </c>
      <c r="C110" s="54"/>
      <c r="D110" s="66">
        <f>D111+D113+D115</f>
        <v>1088</v>
      </c>
      <c r="E110" s="66">
        <f t="shared" ref="E110" si="20">E111+E113+E115</f>
        <v>1088</v>
      </c>
      <c r="F110" s="66"/>
      <c r="G110" s="64">
        <f t="shared" si="15"/>
        <v>0</v>
      </c>
      <c r="H110" s="41"/>
      <c r="I110" s="41"/>
      <c r="J110" s="278">
        <f t="shared" si="13"/>
        <v>0</v>
      </c>
      <c r="K110" s="32"/>
    </row>
    <row r="111" spans="1:11" s="60" customFormat="1" ht="15.75">
      <c r="A111" s="55">
        <v>1</v>
      </c>
      <c r="B111" s="56" t="s">
        <v>321</v>
      </c>
      <c r="C111" s="57"/>
      <c r="D111" s="67">
        <f>D112</f>
        <v>706</v>
      </c>
      <c r="E111" s="67">
        <f>E112</f>
        <v>706</v>
      </c>
      <c r="F111" s="67"/>
      <c r="G111" s="64">
        <f t="shared" si="15"/>
        <v>0</v>
      </c>
      <c r="H111" s="58"/>
      <c r="I111" s="58"/>
      <c r="J111" s="278">
        <f t="shared" si="13"/>
        <v>0</v>
      </c>
      <c r="K111" s="59"/>
    </row>
    <row r="112" spans="1:11" ht="15.75">
      <c r="A112" s="33"/>
      <c r="B112" s="36" t="s">
        <v>67</v>
      </c>
      <c r="C112" s="45" t="s">
        <v>67</v>
      </c>
      <c r="D112" s="65">
        <f>E112</f>
        <v>706</v>
      </c>
      <c r="E112" s="65">
        <v>706</v>
      </c>
      <c r="F112" s="65"/>
      <c r="G112" s="64">
        <f t="shared" si="15"/>
        <v>0</v>
      </c>
      <c r="H112" s="40"/>
      <c r="I112" s="40"/>
      <c r="J112" s="278">
        <f t="shared" si="13"/>
        <v>0</v>
      </c>
      <c r="K112" s="31"/>
    </row>
    <row r="113" spans="1:11" s="60" customFormat="1" ht="15.75">
      <c r="A113" s="55">
        <v>2</v>
      </c>
      <c r="B113" s="56" t="s">
        <v>322</v>
      </c>
      <c r="C113" s="57"/>
      <c r="D113" s="67">
        <f>D114</f>
        <v>126</v>
      </c>
      <c r="E113" s="67">
        <f t="shared" ref="E113" si="21">E114</f>
        <v>126</v>
      </c>
      <c r="F113" s="67"/>
      <c r="G113" s="64">
        <f t="shared" si="15"/>
        <v>0</v>
      </c>
      <c r="H113" s="58"/>
      <c r="I113" s="58"/>
      <c r="J113" s="278">
        <f t="shared" si="13"/>
        <v>0</v>
      </c>
      <c r="K113" s="59"/>
    </row>
    <row r="114" spans="1:11" ht="30">
      <c r="A114" s="33"/>
      <c r="B114" s="38" t="s">
        <v>309</v>
      </c>
      <c r="C114" s="48" t="s">
        <v>633</v>
      </c>
      <c r="D114" s="65">
        <f t="shared" ref="D114" si="22">E114</f>
        <v>126</v>
      </c>
      <c r="E114" s="65">
        <v>126</v>
      </c>
      <c r="F114" s="65"/>
      <c r="G114" s="64">
        <f t="shared" si="15"/>
        <v>0</v>
      </c>
      <c r="H114" s="40"/>
      <c r="I114" s="40"/>
      <c r="J114" s="278">
        <f t="shared" si="13"/>
        <v>0</v>
      </c>
      <c r="K114" s="31"/>
    </row>
    <row r="115" spans="1:11" s="60" customFormat="1" ht="15.75">
      <c r="A115" s="55">
        <v>3</v>
      </c>
      <c r="B115" s="56" t="s">
        <v>325</v>
      </c>
      <c r="C115" s="57"/>
      <c r="D115" s="67">
        <f>D116</f>
        <v>256</v>
      </c>
      <c r="E115" s="67">
        <f t="shared" ref="E115" si="23">E116</f>
        <v>256</v>
      </c>
      <c r="F115" s="67"/>
      <c r="G115" s="64">
        <f t="shared" si="15"/>
        <v>0</v>
      </c>
      <c r="H115" s="58"/>
      <c r="I115" s="58"/>
      <c r="J115" s="278">
        <f t="shared" si="13"/>
        <v>0</v>
      </c>
      <c r="K115" s="59"/>
    </row>
    <row r="116" spans="1:11" ht="15.75">
      <c r="A116" s="33"/>
      <c r="B116" s="36" t="s">
        <v>67</v>
      </c>
      <c r="C116" s="45" t="s">
        <v>67</v>
      </c>
      <c r="D116" s="65">
        <f t="shared" ref="D116" si="24">E116</f>
        <v>256</v>
      </c>
      <c r="E116" s="65">
        <v>256</v>
      </c>
      <c r="F116" s="65"/>
      <c r="G116" s="64">
        <f t="shared" si="15"/>
        <v>0</v>
      </c>
      <c r="H116" s="40"/>
      <c r="I116" s="40"/>
      <c r="J116" s="278">
        <f t="shared" si="13"/>
        <v>0</v>
      </c>
      <c r="K116" s="31"/>
    </row>
    <row r="117" spans="1:11" ht="31.5">
      <c r="A117" s="27" t="s">
        <v>12</v>
      </c>
      <c r="B117" s="39" t="s">
        <v>637</v>
      </c>
      <c r="C117" s="46"/>
      <c r="D117" s="66">
        <f>SUM(D118:D119)</f>
        <v>5488.2</v>
      </c>
      <c r="E117" s="66">
        <f>SUM(E118:E119)</f>
        <v>5488.2</v>
      </c>
      <c r="F117" s="66"/>
      <c r="G117" s="64">
        <f t="shared" si="15"/>
        <v>0</v>
      </c>
      <c r="H117" s="42"/>
      <c r="I117" s="42"/>
      <c r="J117" s="278">
        <f t="shared" si="13"/>
        <v>0</v>
      </c>
      <c r="K117" s="32"/>
    </row>
    <row r="118" spans="1:11" s="53" customFormat="1" ht="15.75" hidden="1">
      <c r="A118" s="259">
        <v>1</v>
      </c>
      <c r="B118" s="266" t="s">
        <v>315</v>
      </c>
      <c r="C118" s="57"/>
      <c r="D118" s="260">
        <f>E118</f>
        <v>2751.2</v>
      </c>
      <c r="E118" s="260">
        <v>2751.2</v>
      </c>
      <c r="F118" s="260"/>
      <c r="G118" s="260"/>
      <c r="H118" s="259"/>
      <c r="I118" s="259"/>
      <c r="J118" s="278">
        <f t="shared" si="13"/>
        <v>0</v>
      </c>
      <c r="K118" s="261"/>
    </row>
    <row r="119" spans="1:11" s="53" customFormat="1" ht="15.75" hidden="1">
      <c r="A119" s="259">
        <v>2</v>
      </c>
      <c r="B119" s="267" t="s">
        <v>316</v>
      </c>
      <c r="C119" s="262"/>
      <c r="D119" s="260">
        <f>E119</f>
        <v>2737</v>
      </c>
      <c r="E119" s="263">
        <v>2737</v>
      </c>
      <c r="F119" s="263"/>
      <c r="G119" s="263"/>
      <c r="H119" s="264"/>
      <c r="I119" s="264"/>
      <c r="J119" s="278">
        <f t="shared" si="13"/>
        <v>0</v>
      </c>
      <c r="K119" s="265"/>
    </row>
  </sheetData>
  <mergeCells count="11">
    <mergeCell ref="C51:C52"/>
    <mergeCell ref="J1:K1"/>
    <mergeCell ref="A2:K2"/>
    <mergeCell ref="A4:A5"/>
    <mergeCell ref="B4:B5"/>
    <mergeCell ref="C4:C5"/>
    <mergeCell ref="J3:K3"/>
    <mergeCell ref="D4:F4"/>
    <mergeCell ref="K4:K5"/>
    <mergeCell ref="G4:I4"/>
    <mergeCell ref="J4:J5"/>
  </mergeCells>
  <pageMargins left="0.31496062992125984" right="0.31496062992125984" top="0.55118110236220474" bottom="0.35433070866141736" header="0.31496062992125984" footer="0.31496062992125984"/>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ColWidth="9.28515625" defaultRowHeight="12.75"/>
  <cols>
    <col min="1" max="1" width="9.28515625" style="23"/>
    <col min="2" max="2" width="45.7109375" style="23" customWidth="1"/>
    <col min="3" max="3" width="20" style="23" customWidth="1"/>
    <col min="4" max="4" width="19.28515625" style="23" customWidth="1"/>
    <col min="5" max="5" width="11.42578125" style="23" customWidth="1"/>
    <col min="6" max="8" width="18" style="23" customWidth="1"/>
    <col min="9" max="9" width="16.42578125" style="23" customWidth="1"/>
    <col min="10" max="16384" width="9.28515625" style="23"/>
  </cols>
  <sheetData>
    <row r="4" spans="1:9" ht="14.25">
      <c r="A4" s="339" t="s">
        <v>7</v>
      </c>
      <c r="B4" s="340"/>
      <c r="C4" s="72"/>
      <c r="D4" s="73"/>
      <c r="E4" s="73"/>
      <c r="F4" s="74">
        <f>F5+F48+F90</f>
        <v>129024.98800000001</v>
      </c>
      <c r="G4" s="74">
        <f>G5+G48+G90</f>
        <v>77012.660736000005</v>
      </c>
      <c r="H4" s="74">
        <f>H5+H48+H90</f>
        <v>52012.327264000014</v>
      </c>
      <c r="I4" s="117">
        <f>H4-52012.32</f>
        <v>7.2640000144019723E-3</v>
      </c>
    </row>
    <row r="5" spans="1:9" ht="42.75">
      <c r="A5" s="75" t="s">
        <v>3</v>
      </c>
      <c r="B5" s="76" t="s">
        <v>72</v>
      </c>
      <c r="C5" s="76"/>
      <c r="D5" s="76"/>
      <c r="E5" s="76"/>
      <c r="F5" s="77">
        <f>F6+F10+F13+F24+F35+F46</f>
        <v>47641.988000000005</v>
      </c>
      <c r="G5" s="77">
        <f>G6+G10+G13+G24+G35+G46</f>
        <v>27271.781936000003</v>
      </c>
      <c r="H5" s="77">
        <f>H6+H10+H13+H24+H35+H46</f>
        <v>20370.206064000002</v>
      </c>
    </row>
    <row r="6" spans="1:9" ht="14.25">
      <c r="A6" s="78">
        <v>1</v>
      </c>
      <c r="B6" s="73" t="s">
        <v>36</v>
      </c>
      <c r="C6" s="73"/>
      <c r="D6" s="73"/>
      <c r="E6" s="73"/>
      <c r="F6" s="74">
        <f>F7</f>
        <v>3906</v>
      </c>
      <c r="G6" s="74">
        <f t="shared" ref="G6:H6" si="0">G7</f>
        <v>3032.4970000000003</v>
      </c>
      <c r="H6" s="74">
        <f t="shared" si="0"/>
        <v>873.50299999999993</v>
      </c>
    </row>
    <row r="7" spans="1:9" ht="14.25">
      <c r="A7" s="79" t="s">
        <v>83</v>
      </c>
      <c r="B7" s="73" t="s">
        <v>84</v>
      </c>
      <c r="C7" s="73"/>
      <c r="D7" s="73"/>
      <c r="E7" s="73"/>
      <c r="F7" s="74">
        <f t="shared" ref="F7:G7" si="1">SUM(F8:F9)</f>
        <v>3906</v>
      </c>
      <c r="G7" s="74">
        <f t="shared" si="1"/>
        <v>3032.4970000000003</v>
      </c>
      <c r="H7" s="74">
        <f>SUM(H8:H9)</f>
        <v>873.50299999999993</v>
      </c>
      <c r="I7" s="117"/>
    </row>
    <row r="8" spans="1:9" ht="30">
      <c r="A8" s="80" t="s">
        <v>85</v>
      </c>
      <c r="B8" s="81" t="s">
        <v>86</v>
      </c>
      <c r="C8" s="324" t="s">
        <v>66</v>
      </c>
      <c r="D8" s="83" t="s">
        <v>43</v>
      </c>
      <c r="E8" s="84" t="s">
        <v>330</v>
      </c>
      <c r="F8" s="82">
        <v>2000</v>
      </c>
      <c r="G8" s="82">
        <v>1410.7380000000001</v>
      </c>
      <c r="H8" s="82">
        <f>F8-G8</f>
        <v>589.26199999999994</v>
      </c>
    </row>
    <row r="9" spans="1:9" ht="30">
      <c r="A9" s="80" t="s">
        <v>87</v>
      </c>
      <c r="B9" s="85" t="s">
        <v>88</v>
      </c>
      <c r="C9" s="325"/>
      <c r="D9" s="83" t="s">
        <v>45</v>
      </c>
      <c r="E9" s="84" t="s">
        <v>331</v>
      </c>
      <c r="F9" s="82">
        <v>1906</v>
      </c>
      <c r="G9" s="82">
        <v>1621.759</v>
      </c>
      <c r="H9" s="82">
        <f>F9-G9</f>
        <v>284.24099999999999</v>
      </c>
    </row>
    <row r="10" spans="1:9" ht="14.25">
      <c r="A10" s="79">
        <v>2</v>
      </c>
      <c r="B10" s="86" t="s">
        <v>332</v>
      </c>
      <c r="C10" s="73"/>
      <c r="D10" s="73"/>
      <c r="E10" s="73"/>
      <c r="F10" s="74">
        <f>SUM(F11:F12)</f>
        <v>10167</v>
      </c>
      <c r="G10" s="74">
        <f>SUM(G11:G12)</f>
        <v>3925.3040000000001</v>
      </c>
      <c r="H10" s="74">
        <f>SUM(H11:H12)</f>
        <v>6241.6959999999999</v>
      </c>
    </row>
    <row r="11" spans="1:9" ht="45">
      <c r="A11" s="80" t="s">
        <v>91</v>
      </c>
      <c r="B11" s="85" t="s">
        <v>92</v>
      </c>
      <c r="C11" s="116" t="s">
        <v>66</v>
      </c>
      <c r="D11" s="83" t="s">
        <v>62</v>
      </c>
      <c r="E11" s="84" t="s">
        <v>334</v>
      </c>
      <c r="F11" s="82">
        <v>6567</v>
      </c>
      <c r="G11" s="82">
        <v>888.89599999999996</v>
      </c>
      <c r="H11" s="82">
        <f>F11-G11</f>
        <v>5678.1040000000003</v>
      </c>
    </row>
    <row r="12" spans="1:9" ht="45">
      <c r="A12" s="88" t="s">
        <v>94</v>
      </c>
      <c r="B12" s="81" t="s">
        <v>95</v>
      </c>
      <c r="C12" s="116" t="s">
        <v>66</v>
      </c>
      <c r="D12" s="88" t="s">
        <v>76</v>
      </c>
      <c r="E12" s="84" t="s">
        <v>335</v>
      </c>
      <c r="F12" s="82">
        <v>3600</v>
      </c>
      <c r="G12" s="82">
        <v>3036.4079999999999</v>
      </c>
      <c r="H12" s="82">
        <f>F12-G12</f>
        <v>563.5920000000001</v>
      </c>
    </row>
    <row r="13" spans="1:9" ht="14.25">
      <c r="A13" s="79">
        <v>3</v>
      </c>
      <c r="B13" s="89" t="s">
        <v>32</v>
      </c>
      <c r="C13" s="89"/>
      <c r="D13" s="73"/>
      <c r="E13" s="73"/>
      <c r="F13" s="74">
        <f>SUM(F14:F23)</f>
        <v>22885.960000000003</v>
      </c>
      <c r="G13" s="74">
        <f>SUM(G14:G23)</f>
        <v>14498.561884000002</v>
      </c>
      <c r="H13" s="74">
        <f>SUM(H14:H23)</f>
        <v>8387.3981160000003</v>
      </c>
    </row>
    <row r="14" spans="1:9" ht="30">
      <c r="A14" s="88" t="s">
        <v>96</v>
      </c>
      <c r="B14" s="81" t="s">
        <v>336</v>
      </c>
      <c r="C14" s="81" t="s">
        <v>41</v>
      </c>
      <c r="D14" s="88" t="s">
        <v>41</v>
      </c>
      <c r="E14" s="80" t="s">
        <v>337</v>
      </c>
      <c r="F14" s="82">
        <v>2215.4</v>
      </c>
      <c r="G14" s="82">
        <v>1268.0654999999999</v>
      </c>
      <c r="H14" s="82">
        <f t="shared" ref="H14:H23" si="2">F14-G14</f>
        <v>947.33450000000016</v>
      </c>
    </row>
    <row r="15" spans="1:9" ht="30">
      <c r="A15" s="88" t="s">
        <v>97</v>
      </c>
      <c r="B15" s="81" t="s">
        <v>338</v>
      </c>
      <c r="C15" s="81" t="s">
        <v>62</v>
      </c>
      <c r="D15" s="88" t="s">
        <v>62</v>
      </c>
      <c r="E15" s="80" t="s">
        <v>339</v>
      </c>
      <c r="F15" s="82">
        <v>2190</v>
      </c>
      <c r="G15" s="90">
        <f>990+243.931</f>
        <v>1233.931</v>
      </c>
      <c r="H15" s="82">
        <f t="shared" si="2"/>
        <v>956.06899999999996</v>
      </c>
    </row>
    <row r="16" spans="1:9" ht="30">
      <c r="A16" s="88" t="s">
        <v>340</v>
      </c>
      <c r="B16" s="81" t="s">
        <v>341</v>
      </c>
      <c r="C16" s="85" t="s">
        <v>43</v>
      </c>
      <c r="D16" s="88" t="s">
        <v>43</v>
      </c>
      <c r="E16" s="80" t="s">
        <v>342</v>
      </c>
      <c r="F16" s="82">
        <v>2289.0500000000002</v>
      </c>
      <c r="G16" s="91">
        <v>1226.1110000000001</v>
      </c>
      <c r="H16" s="82">
        <f t="shared" si="2"/>
        <v>1062.9390000000001</v>
      </c>
    </row>
    <row r="17" spans="1:8" ht="30">
      <c r="A17" s="88" t="s">
        <v>343</v>
      </c>
      <c r="B17" s="81" t="s">
        <v>344</v>
      </c>
      <c r="C17" s="85" t="s">
        <v>51</v>
      </c>
      <c r="D17" s="88" t="s">
        <v>51</v>
      </c>
      <c r="E17" s="80" t="s">
        <v>345</v>
      </c>
      <c r="F17" s="82">
        <v>2286.12</v>
      </c>
      <c r="G17" s="87">
        <f>235.915+989.544798</f>
        <v>1225.4597980000001</v>
      </c>
      <c r="H17" s="82">
        <f t="shared" si="2"/>
        <v>1060.6602019999998</v>
      </c>
    </row>
    <row r="18" spans="1:8" ht="30">
      <c r="A18" s="88" t="s">
        <v>346</v>
      </c>
      <c r="B18" s="81" t="s">
        <v>347</v>
      </c>
      <c r="C18" s="85" t="s">
        <v>50</v>
      </c>
      <c r="D18" s="88" t="s">
        <v>50</v>
      </c>
      <c r="E18" s="80" t="s">
        <v>348</v>
      </c>
      <c r="F18" s="82">
        <v>2400.64</v>
      </c>
      <c r="G18" s="82">
        <v>2349.446817</v>
      </c>
      <c r="H18" s="82">
        <f t="shared" si="2"/>
        <v>51.193182999999863</v>
      </c>
    </row>
    <row r="19" spans="1:8" ht="30">
      <c r="A19" s="88" t="s">
        <v>349</v>
      </c>
      <c r="B19" s="81" t="s">
        <v>350</v>
      </c>
      <c r="C19" s="85" t="s">
        <v>45</v>
      </c>
      <c r="D19" s="88" t="s">
        <v>45</v>
      </c>
      <c r="E19" s="80" t="s">
        <v>351</v>
      </c>
      <c r="F19" s="82">
        <v>2448.7600000000002</v>
      </c>
      <c r="G19" s="82">
        <f>2294.972289+41.2092</f>
        <v>2336.1814889999996</v>
      </c>
      <c r="H19" s="82">
        <f t="shared" si="2"/>
        <v>112.57851100000062</v>
      </c>
    </row>
    <row r="20" spans="1:8" ht="30">
      <c r="A20" s="88" t="s">
        <v>352</v>
      </c>
      <c r="B20" s="81" t="s">
        <v>353</v>
      </c>
      <c r="C20" s="85" t="s">
        <v>63</v>
      </c>
      <c r="D20" s="88" t="s">
        <v>63</v>
      </c>
      <c r="E20" s="80" t="s">
        <v>354</v>
      </c>
      <c r="F20" s="82">
        <v>2272.61</v>
      </c>
      <c r="G20" s="87">
        <f>242.691+988.058</f>
        <v>1230.749</v>
      </c>
      <c r="H20" s="82">
        <f t="shared" si="2"/>
        <v>1041.8610000000001</v>
      </c>
    </row>
    <row r="21" spans="1:8" ht="30">
      <c r="A21" s="88" t="s">
        <v>355</v>
      </c>
      <c r="B21" s="81" t="s">
        <v>356</v>
      </c>
      <c r="C21" s="85" t="s">
        <v>61</v>
      </c>
      <c r="D21" s="88" t="s">
        <v>61</v>
      </c>
      <c r="E21" s="80" t="s">
        <v>357</v>
      </c>
      <c r="F21" s="82">
        <v>2202.5100000000002</v>
      </c>
      <c r="G21" s="82">
        <f>236.438+982.476</f>
        <v>1218.914</v>
      </c>
      <c r="H21" s="82">
        <f t="shared" si="2"/>
        <v>983.59600000000023</v>
      </c>
    </row>
    <row r="22" spans="1:8" ht="30">
      <c r="A22" s="88" t="s">
        <v>358</v>
      </c>
      <c r="B22" s="81" t="s">
        <v>359</v>
      </c>
      <c r="C22" s="85" t="s">
        <v>64</v>
      </c>
      <c r="D22" s="88" t="s">
        <v>64</v>
      </c>
      <c r="E22" s="80" t="s">
        <v>360</v>
      </c>
      <c r="F22" s="82">
        <v>2299.81</v>
      </c>
      <c r="G22" s="87">
        <v>1174.91544</v>
      </c>
      <c r="H22" s="82">
        <f t="shared" si="2"/>
        <v>1124.89456</v>
      </c>
    </row>
    <row r="23" spans="1:8" ht="30">
      <c r="A23" s="88" t="s">
        <v>361</v>
      </c>
      <c r="B23" s="81" t="s">
        <v>362</v>
      </c>
      <c r="C23" s="85" t="s">
        <v>65</v>
      </c>
      <c r="D23" s="88" t="s">
        <v>65</v>
      </c>
      <c r="E23" s="80" t="s">
        <v>363</v>
      </c>
      <c r="F23" s="82">
        <v>2281.06</v>
      </c>
      <c r="G23" s="82">
        <f>244.78784+990</f>
        <v>1234.78784</v>
      </c>
      <c r="H23" s="82">
        <f t="shared" si="2"/>
        <v>1046.27216</v>
      </c>
    </row>
    <row r="24" spans="1:8" ht="14.25">
      <c r="A24" s="79">
        <v>4</v>
      </c>
      <c r="B24" s="92" t="s">
        <v>364</v>
      </c>
      <c r="C24" s="93"/>
      <c r="D24" s="93"/>
      <c r="E24" s="94"/>
      <c r="F24" s="74">
        <f>SUM(F25:F34)</f>
        <v>8677</v>
      </c>
      <c r="G24" s="74">
        <f>SUM(G25:G34)</f>
        <v>5258.7709999999997</v>
      </c>
      <c r="H24" s="74">
        <f>SUM(H25:H34)</f>
        <v>3418.2290000000003</v>
      </c>
    </row>
    <row r="25" spans="1:8" ht="15">
      <c r="A25" s="80" t="s">
        <v>365</v>
      </c>
      <c r="B25" s="95" t="s">
        <v>366</v>
      </c>
      <c r="C25" s="324" t="s">
        <v>66</v>
      </c>
      <c r="D25" s="83" t="s">
        <v>22</v>
      </c>
      <c r="E25" s="96" t="s">
        <v>367</v>
      </c>
      <c r="F25" s="82">
        <v>223</v>
      </c>
      <c r="G25" s="82">
        <v>82.441000000000003</v>
      </c>
      <c r="H25" s="82">
        <f t="shared" ref="H25:H34" si="3">F25-G25</f>
        <v>140.559</v>
      </c>
    </row>
    <row r="26" spans="1:8" ht="15">
      <c r="A26" s="80" t="s">
        <v>368</v>
      </c>
      <c r="B26" s="95" t="s">
        <v>369</v>
      </c>
      <c r="C26" s="325"/>
      <c r="D26" s="83" t="s">
        <v>21</v>
      </c>
      <c r="E26" s="96" t="s">
        <v>370</v>
      </c>
      <c r="F26" s="82">
        <v>670</v>
      </c>
      <c r="G26" s="82">
        <v>395.43200000000002</v>
      </c>
      <c r="H26" s="82">
        <f t="shared" si="3"/>
        <v>274.56799999999998</v>
      </c>
    </row>
    <row r="27" spans="1:8" ht="15">
      <c r="A27" s="80" t="s">
        <v>371</v>
      </c>
      <c r="B27" s="95" t="s">
        <v>372</v>
      </c>
      <c r="C27" s="326"/>
      <c r="D27" s="83" t="s">
        <v>100</v>
      </c>
      <c r="E27" s="96" t="s">
        <v>373</v>
      </c>
      <c r="F27" s="82">
        <v>447</v>
      </c>
      <c r="G27" s="82">
        <v>160.779</v>
      </c>
      <c r="H27" s="82">
        <f t="shared" si="3"/>
        <v>286.221</v>
      </c>
    </row>
    <row r="28" spans="1:8" ht="15">
      <c r="A28" s="80" t="s">
        <v>374</v>
      </c>
      <c r="B28" s="95" t="s">
        <v>375</v>
      </c>
      <c r="C28" s="324" t="s">
        <v>66</v>
      </c>
      <c r="D28" s="83" t="s">
        <v>18</v>
      </c>
      <c r="E28" s="96" t="s">
        <v>376</v>
      </c>
      <c r="F28" s="82">
        <v>1391.5</v>
      </c>
      <c r="G28" s="82">
        <v>1326.675</v>
      </c>
      <c r="H28" s="82">
        <f t="shared" si="3"/>
        <v>64.825000000000045</v>
      </c>
    </row>
    <row r="29" spans="1:8" ht="15">
      <c r="A29" s="80" t="s">
        <v>377</v>
      </c>
      <c r="B29" s="95" t="s">
        <v>378</v>
      </c>
      <c r="C29" s="325"/>
      <c r="D29" s="83" t="s">
        <v>21</v>
      </c>
      <c r="E29" s="96" t="s">
        <v>379</v>
      </c>
      <c r="F29" s="82">
        <v>696</v>
      </c>
      <c r="G29" s="82">
        <v>248.34700000000001</v>
      </c>
      <c r="H29" s="82">
        <f t="shared" si="3"/>
        <v>447.65300000000002</v>
      </c>
    </row>
    <row r="30" spans="1:8" ht="15">
      <c r="A30" s="80" t="s">
        <v>380</v>
      </c>
      <c r="B30" s="95" t="s">
        <v>381</v>
      </c>
      <c r="C30" s="325"/>
      <c r="D30" s="83" t="s">
        <v>99</v>
      </c>
      <c r="E30" s="96" t="s">
        <v>382</v>
      </c>
      <c r="F30" s="82">
        <v>695.5</v>
      </c>
      <c r="G30" s="82">
        <v>247.99700000000001</v>
      </c>
      <c r="H30" s="82">
        <f t="shared" si="3"/>
        <v>447.50299999999999</v>
      </c>
    </row>
    <row r="31" spans="1:8" ht="15">
      <c r="A31" s="80" t="s">
        <v>383</v>
      </c>
      <c r="B31" s="95" t="s">
        <v>384</v>
      </c>
      <c r="C31" s="326"/>
      <c r="D31" s="83" t="s">
        <v>22</v>
      </c>
      <c r="E31" s="96" t="s">
        <v>385</v>
      </c>
      <c r="F31" s="82">
        <v>696</v>
      </c>
      <c r="G31" s="82">
        <v>689.322</v>
      </c>
      <c r="H31" s="82">
        <f t="shared" si="3"/>
        <v>6.6779999999999973</v>
      </c>
    </row>
    <row r="32" spans="1:8" ht="15">
      <c r="A32" s="80" t="s">
        <v>386</v>
      </c>
      <c r="B32" s="85" t="s">
        <v>372</v>
      </c>
      <c r="C32" s="341" t="s">
        <v>66</v>
      </c>
      <c r="D32" s="88" t="s">
        <v>100</v>
      </c>
      <c r="E32" s="80" t="s">
        <v>387</v>
      </c>
      <c r="F32" s="82">
        <v>695.5</v>
      </c>
      <c r="G32" s="82">
        <v>247.90100000000001</v>
      </c>
      <c r="H32" s="82">
        <f t="shared" si="3"/>
        <v>447.59899999999999</v>
      </c>
    </row>
    <row r="33" spans="1:8" ht="15">
      <c r="A33" s="80" t="s">
        <v>388</v>
      </c>
      <c r="B33" s="85" t="s">
        <v>389</v>
      </c>
      <c r="C33" s="341"/>
      <c r="D33" s="88" t="s">
        <v>20</v>
      </c>
      <c r="E33" s="80" t="s">
        <v>390</v>
      </c>
      <c r="F33" s="82">
        <v>695.5</v>
      </c>
      <c r="G33" s="82">
        <v>248.03100000000001</v>
      </c>
      <c r="H33" s="82">
        <f t="shared" si="3"/>
        <v>447.46899999999999</v>
      </c>
    </row>
    <row r="34" spans="1:8" ht="45">
      <c r="A34" s="80" t="s">
        <v>391</v>
      </c>
      <c r="B34" s="85" t="s">
        <v>392</v>
      </c>
      <c r="C34" s="97" t="s">
        <v>66</v>
      </c>
      <c r="D34" s="88" t="s">
        <v>18</v>
      </c>
      <c r="E34" s="80" t="s">
        <v>393</v>
      </c>
      <c r="F34" s="82">
        <v>2467</v>
      </c>
      <c r="G34" s="82">
        <v>1611.846</v>
      </c>
      <c r="H34" s="82">
        <f t="shared" si="3"/>
        <v>855.154</v>
      </c>
    </row>
    <row r="35" spans="1:8" ht="14.25">
      <c r="A35" s="79">
        <v>5</v>
      </c>
      <c r="B35" s="89" t="s">
        <v>37</v>
      </c>
      <c r="C35" s="89"/>
      <c r="D35" s="73"/>
      <c r="E35" s="73"/>
      <c r="F35" s="74">
        <f>F36</f>
        <v>1315.0280000000002</v>
      </c>
      <c r="G35" s="74">
        <f t="shared" ref="G35" si="4">G36</f>
        <v>0</v>
      </c>
      <c r="H35" s="74">
        <f>H36</f>
        <v>1315.0280000000002</v>
      </c>
    </row>
    <row r="36" spans="1:8" ht="14.25">
      <c r="A36" s="79" t="s">
        <v>104</v>
      </c>
      <c r="B36" s="89" t="s">
        <v>106</v>
      </c>
      <c r="C36" s="89"/>
      <c r="D36" s="73"/>
      <c r="E36" s="73"/>
      <c r="F36" s="74">
        <f>SUM(F37:F45)</f>
        <v>1315.0280000000002</v>
      </c>
      <c r="G36" s="74">
        <f t="shared" ref="G36:H36" si="5">SUM(G37:G45)</f>
        <v>0</v>
      </c>
      <c r="H36" s="74">
        <f t="shared" si="5"/>
        <v>1315.0280000000002</v>
      </c>
    </row>
    <row r="37" spans="1:8" ht="15">
      <c r="A37" s="80" t="s">
        <v>394</v>
      </c>
      <c r="B37" s="85" t="s">
        <v>395</v>
      </c>
      <c r="C37" s="342" t="s">
        <v>396</v>
      </c>
      <c r="D37" s="88" t="s">
        <v>23</v>
      </c>
      <c r="E37" s="98" t="s">
        <v>397</v>
      </c>
      <c r="F37" s="82">
        <v>161.892</v>
      </c>
      <c r="G37" s="87" t="s">
        <v>333</v>
      </c>
      <c r="H37" s="82">
        <f t="shared" ref="H37:H45" si="6">F37-G37</f>
        <v>161.892</v>
      </c>
    </row>
    <row r="38" spans="1:8" ht="15">
      <c r="A38" s="80" t="s">
        <v>398</v>
      </c>
      <c r="B38" s="85" t="s">
        <v>399</v>
      </c>
      <c r="C38" s="341"/>
      <c r="D38" s="88" t="s">
        <v>20</v>
      </c>
      <c r="E38" s="98" t="s">
        <v>400</v>
      </c>
      <c r="F38" s="82">
        <v>161.892</v>
      </c>
      <c r="G38" s="87" t="s">
        <v>333</v>
      </c>
      <c r="H38" s="82">
        <f t="shared" si="6"/>
        <v>161.892</v>
      </c>
    </row>
    <row r="39" spans="1:8" ht="15">
      <c r="A39" s="80" t="s">
        <v>401</v>
      </c>
      <c r="B39" s="85" t="s">
        <v>402</v>
      </c>
      <c r="C39" s="341"/>
      <c r="D39" s="88" t="s">
        <v>20</v>
      </c>
      <c r="E39" s="98" t="s">
        <v>403</v>
      </c>
      <c r="F39" s="82">
        <v>161.892</v>
      </c>
      <c r="G39" s="87" t="s">
        <v>333</v>
      </c>
      <c r="H39" s="82">
        <f t="shared" si="6"/>
        <v>161.892</v>
      </c>
    </row>
    <row r="40" spans="1:8" ht="15">
      <c r="A40" s="80" t="s">
        <v>404</v>
      </c>
      <c r="B40" s="85" t="s">
        <v>405</v>
      </c>
      <c r="C40" s="341"/>
      <c r="D40" s="88" t="s">
        <v>19</v>
      </c>
      <c r="E40" s="98" t="s">
        <v>406</v>
      </c>
      <c r="F40" s="82">
        <v>161.892</v>
      </c>
      <c r="G40" s="87" t="s">
        <v>333</v>
      </c>
      <c r="H40" s="82">
        <f t="shared" si="6"/>
        <v>161.892</v>
      </c>
    </row>
    <row r="41" spans="1:8" ht="15">
      <c r="A41" s="80" t="s">
        <v>407</v>
      </c>
      <c r="B41" s="85" t="s">
        <v>408</v>
      </c>
      <c r="C41" s="341"/>
      <c r="D41" s="88" t="s">
        <v>21</v>
      </c>
      <c r="E41" s="98" t="s">
        <v>409</v>
      </c>
      <c r="F41" s="82">
        <v>161.892</v>
      </c>
      <c r="G41" s="87" t="s">
        <v>333</v>
      </c>
      <c r="H41" s="82">
        <f t="shared" si="6"/>
        <v>161.892</v>
      </c>
    </row>
    <row r="42" spans="1:8" ht="15">
      <c r="A42" s="80" t="s">
        <v>410</v>
      </c>
      <c r="B42" s="85" t="s">
        <v>411</v>
      </c>
      <c r="C42" s="341"/>
      <c r="D42" s="88" t="s">
        <v>17</v>
      </c>
      <c r="E42" s="98" t="s">
        <v>412</v>
      </c>
      <c r="F42" s="82">
        <v>161.892</v>
      </c>
      <c r="G42" s="87" t="s">
        <v>333</v>
      </c>
      <c r="H42" s="82">
        <f t="shared" si="6"/>
        <v>161.892</v>
      </c>
    </row>
    <row r="43" spans="1:8" ht="15">
      <c r="A43" s="80" t="s">
        <v>413</v>
      </c>
      <c r="B43" s="85" t="s">
        <v>414</v>
      </c>
      <c r="C43" s="341"/>
      <c r="D43" s="88" t="s">
        <v>100</v>
      </c>
      <c r="E43" s="80" t="s">
        <v>415</v>
      </c>
      <c r="F43" s="82">
        <v>161.892</v>
      </c>
      <c r="G43" s="87" t="s">
        <v>333</v>
      </c>
      <c r="H43" s="82">
        <f t="shared" si="6"/>
        <v>161.892</v>
      </c>
    </row>
    <row r="44" spans="1:8" ht="15">
      <c r="A44" s="80" t="s">
        <v>416</v>
      </c>
      <c r="B44" s="85" t="s">
        <v>417</v>
      </c>
      <c r="C44" s="341"/>
      <c r="D44" s="88" t="s">
        <v>100</v>
      </c>
      <c r="E44" s="80" t="s">
        <v>418</v>
      </c>
      <c r="F44" s="82">
        <v>90.891999999999996</v>
      </c>
      <c r="G44" s="82"/>
      <c r="H44" s="82">
        <f t="shared" si="6"/>
        <v>90.891999999999996</v>
      </c>
    </row>
    <row r="45" spans="1:8" ht="15">
      <c r="A45" s="80" t="s">
        <v>419</v>
      </c>
      <c r="B45" s="85" t="s">
        <v>420</v>
      </c>
      <c r="C45" s="341"/>
      <c r="D45" s="88" t="s">
        <v>16</v>
      </c>
      <c r="E45" s="80" t="s">
        <v>421</v>
      </c>
      <c r="F45" s="82">
        <v>90.891999999999996</v>
      </c>
      <c r="G45" s="82"/>
      <c r="H45" s="82">
        <f t="shared" si="6"/>
        <v>90.891999999999996</v>
      </c>
    </row>
    <row r="46" spans="1:8" ht="14.25">
      <c r="A46" s="79">
        <v>6</v>
      </c>
      <c r="B46" s="89" t="s">
        <v>38</v>
      </c>
      <c r="C46" s="89"/>
      <c r="D46" s="73"/>
      <c r="E46" s="73"/>
      <c r="F46" s="74">
        <f>F47</f>
        <v>691</v>
      </c>
      <c r="G46" s="74">
        <f t="shared" ref="G46:H46" si="7">G47</f>
        <v>556.64805200000001</v>
      </c>
      <c r="H46" s="74">
        <f t="shared" si="7"/>
        <v>134.35194799999999</v>
      </c>
    </row>
    <row r="47" spans="1:8" ht="30">
      <c r="A47" s="80" t="s">
        <v>28</v>
      </c>
      <c r="B47" s="85" t="s">
        <v>107</v>
      </c>
      <c r="C47" s="80" t="s">
        <v>396</v>
      </c>
      <c r="D47" s="88" t="s">
        <v>108</v>
      </c>
      <c r="E47" s="98" t="s">
        <v>422</v>
      </c>
      <c r="F47" s="82">
        <v>691</v>
      </c>
      <c r="G47" s="87">
        <f>556.648052</f>
        <v>556.64805200000001</v>
      </c>
      <c r="H47" s="82">
        <f>F47-G47</f>
        <v>134.35194799999999</v>
      </c>
    </row>
    <row r="48" spans="1:8" ht="28.5">
      <c r="A48" s="125" t="s">
        <v>423</v>
      </c>
      <c r="B48" s="126" t="s">
        <v>29</v>
      </c>
      <c r="C48" s="126"/>
      <c r="D48" s="126"/>
      <c r="E48" s="126"/>
      <c r="F48" s="127">
        <f t="shared" ref="F48:H49" si="8">F49</f>
        <v>65249</v>
      </c>
      <c r="G48" s="127">
        <f t="shared" si="8"/>
        <v>42327.4473</v>
      </c>
      <c r="H48" s="127">
        <f t="shared" si="8"/>
        <v>22921.552700000007</v>
      </c>
    </row>
    <row r="49" spans="1:8" ht="14.25">
      <c r="A49" s="78">
        <v>1</v>
      </c>
      <c r="B49" s="73" t="s">
        <v>36</v>
      </c>
      <c r="C49" s="73"/>
      <c r="D49" s="73"/>
      <c r="E49" s="73"/>
      <c r="F49" s="74">
        <f t="shared" si="8"/>
        <v>65249</v>
      </c>
      <c r="G49" s="74">
        <f>G50</f>
        <v>42327.4473</v>
      </c>
      <c r="H49" s="74">
        <f>H50</f>
        <v>22921.552700000007</v>
      </c>
    </row>
    <row r="50" spans="1:8" ht="14.25">
      <c r="A50" s="78" t="s">
        <v>73</v>
      </c>
      <c r="B50" s="73" t="s">
        <v>321</v>
      </c>
      <c r="C50" s="73"/>
      <c r="D50" s="73"/>
      <c r="E50" s="73"/>
      <c r="F50" s="74">
        <f>SUM(F51:F89)</f>
        <v>65249</v>
      </c>
      <c r="G50" s="74">
        <f>SUM(G51:G89)</f>
        <v>42327.4473</v>
      </c>
      <c r="H50" s="74">
        <f>SUM(H51:H89)</f>
        <v>22921.552700000007</v>
      </c>
    </row>
    <row r="51" spans="1:8" ht="30">
      <c r="A51" s="99" t="s">
        <v>35</v>
      </c>
      <c r="B51" s="100" t="s">
        <v>424</v>
      </c>
      <c r="C51" s="318" t="s">
        <v>66</v>
      </c>
      <c r="D51" s="101" t="s">
        <v>61</v>
      </c>
      <c r="E51" s="98" t="s">
        <v>425</v>
      </c>
      <c r="F51" s="82">
        <v>3524</v>
      </c>
      <c r="G51" s="82">
        <v>2305.6999999999998</v>
      </c>
      <c r="H51" s="82">
        <f t="shared" ref="H51:H89" si="9">F51-G51</f>
        <v>1218.3000000000002</v>
      </c>
    </row>
    <row r="52" spans="1:8" ht="30">
      <c r="A52" s="99" t="s">
        <v>56</v>
      </c>
      <c r="B52" s="102" t="s">
        <v>426</v>
      </c>
      <c r="C52" s="322"/>
      <c r="D52" s="103" t="s">
        <v>64</v>
      </c>
      <c r="E52" s="98" t="s">
        <v>427</v>
      </c>
      <c r="F52" s="82">
        <v>4691</v>
      </c>
      <c r="G52" s="82">
        <v>2713.9380000000001</v>
      </c>
      <c r="H52" s="82">
        <f t="shared" si="9"/>
        <v>1977.0619999999999</v>
      </c>
    </row>
    <row r="53" spans="1:8" ht="15">
      <c r="A53" s="99" t="s">
        <v>57</v>
      </c>
      <c r="B53" s="102" t="s">
        <v>428</v>
      </c>
      <c r="C53" s="322"/>
      <c r="D53" s="103" t="s">
        <v>64</v>
      </c>
      <c r="E53" s="98" t="s">
        <v>429</v>
      </c>
      <c r="F53" s="82">
        <v>1319</v>
      </c>
      <c r="G53" s="82">
        <v>153.76499999999999</v>
      </c>
      <c r="H53" s="82">
        <f t="shared" si="9"/>
        <v>1165.2350000000001</v>
      </c>
    </row>
    <row r="54" spans="1:8" ht="15">
      <c r="A54" s="99" t="s">
        <v>58</v>
      </c>
      <c r="B54" s="102" t="s">
        <v>52</v>
      </c>
      <c r="C54" s="322"/>
      <c r="D54" s="103" t="s">
        <v>65</v>
      </c>
      <c r="E54" s="98" t="s">
        <v>430</v>
      </c>
      <c r="F54" s="82">
        <v>3500</v>
      </c>
      <c r="G54" s="82">
        <v>1339.165</v>
      </c>
      <c r="H54" s="82">
        <f t="shared" si="9"/>
        <v>2160.835</v>
      </c>
    </row>
    <row r="55" spans="1:8" ht="30">
      <c r="A55" s="99" t="s">
        <v>59</v>
      </c>
      <c r="B55" s="102" t="s">
        <v>431</v>
      </c>
      <c r="C55" s="322"/>
      <c r="D55" s="103" t="s">
        <v>65</v>
      </c>
      <c r="E55" s="98" t="s">
        <v>432</v>
      </c>
      <c r="F55" s="82">
        <v>1700</v>
      </c>
      <c r="G55" s="82">
        <v>1644.2940000000001</v>
      </c>
      <c r="H55" s="82">
        <f t="shared" si="9"/>
        <v>55.705999999999904</v>
      </c>
    </row>
    <row r="56" spans="1:8" ht="30">
      <c r="A56" s="99" t="s">
        <v>109</v>
      </c>
      <c r="B56" s="102" t="s">
        <v>54</v>
      </c>
      <c r="C56" s="322"/>
      <c r="D56" s="103" t="s">
        <v>41</v>
      </c>
      <c r="E56" s="98" t="s">
        <v>433</v>
      </c>
      <c r="F56" s="82">
        <v>6354</v>
      </c>
      <c r="G56" s="82">
        <v>2204.59</v>
      </c>
      <c r="H56" s="82">
        <f t="shared" si="9"/>
        <v>4149.41</v>
      </c>
    </row>
    <row r="57" spans="1:8" ht="15">
      <c r="A57" s="99" t="s">
        <v>110</v>
      </c>
      <c r="B57" s="102" t="s">
        <v>55</v>
      </c>
      <c r="C57" s="322"/>
      <c r="D57" s="103" t="s">
        <v>44</v>
      </c>
      <c r="E57" s="98" t="s">
        <v>434</v>
      </c>
      <c r="F57" s="82">
        <v>1100</v>
      </c>
      <c r="G57" s="82">
        <v>663.55700000000002</v>
      </c>
      <c r="H57" s="82">
        <f t="shared" si="9"/>
        <v>436.44299999999998</v>
      </c>
    </row>
    <row r="58" spans="1:8" ht="45">
      <c r="A58" s="99" t="s">
        <v>111</v>
      </c>
      <c r="B58" s="102" t="s">
        <v>435</v>
      </c>
      <c r="C58" s="322"/>
      <c r="D58" s="103" t="s">
        <v>44</v>
      </c>
      <c r="E58" s="98" t="s">
        <v>436</v>
      </c>
      <c r="F58" s="82">
        <v>3500</v>
      </c>
      <c r="G58" s="82">
        <v>3454.1750000000002</v>
      </c>
      <c r="H58" s="82">
        <f t="shared" si="9"/>
        <v>45.824999999999818</v>
      </c>
    </row>
    <row r="59" spans="1:8" ht="30">
      <c r="A59" s="99" t="s">
        <v>112</v>
      </c>
      <c r="B59" s="104" t="s">
        <v>437</v>
      </c>
      <c r="C59" s="322"/>
      <c r="D59" s="101" t="s">
        <v>43</v>
      </c>
      <c r="E59" s="98" t="s">
        <v>438</v>
      </c>
      <c r="F59" s="82">
        <v>2200</v>
      </c>
      <c r="G59" s="82">
        <v>1818.818</v>
      </c>
      <c r="H59" s="82">
        <f t="shared" si="9"/>
        <v>381.18200000000002</v>
      </c>
    </row>
    <row r="60" spans="1:8" ht="15">
      <c r="A60" s="99" t="s">
        <v>113</v>
      </c>
      <c r="B60" s="102" t="s">
        <v>439</v>
      </c>
      <c r="C60" s="322"/>
      <c r="D60" s="103" t="s">
        <v>440</v>
      </c>
      <c r="E60" s="98" t="s">
        <v>441</v>
      </c>
      <c r="F60" s="82">
        <v>3476</v>
      </c>
      <c r="G60" s="82">
        <v>2731.6979999999999</v>
      </c>
      <c r="H60" s="82">
        <f t="shared" si="9"/>
        <v>744.30200000000013</v>
      </c>
    </row>
    <row r="61" spans="1:8" ht="15">
      <c r="A61" s="99" t="s">
        <v>114</v>
      </c>
      <c r="B61" s="102" t="s">
        <v>442</v>
      </c>
      <c r="C61" s="322"/>
      <c r="D61" s="101" t="s">
        <v>50</v>
      </c>
      <c r="E61" s="98" t="s">
        <v>443</v>
      </c>
      <c r="F61" s="82">
        <v>2128</v>
      </c>
      <c r="G61" s="82">
        <v>1576.547</v>
      </c>
      <c r="H61" s="82">
        <f t="shared" si="9"/>
        <v>551.45299999999997</v>
      </c>
    </row>
    <row r="62" spans="1:8" ht="15">
      <c r="A62" s="99" t="s">
        <v>115</v>
      </c>
      <c r="B62" s="102" t="s">
        <v>444</v>
      </c>
      <c r="C62" s="322"/>
      <c r="D62" s="103" t="s">
        <v>62</v>
      </c>
      <c r="E62" s="98" t="s">
        <v>445</v>
      </c>
      <c r="F62" s="82">
        <v>4709</v>
      </c>
      <c r="G62" s="82">
        <v>4676.5878000000002</v>
      </c>
      <c r="H62" s="82">
        <f t="shared" si="9"/>
        <v>32.412199999999757</v>
      </c>
    </row>
    <row r="63" spans="1:8" ht="15">
      <c r="A63" s="99" t="s">
        <v>116</v>
      </c>
      <c r="B63" s="105" t="s">
        <v>117</v>
      </c>
      <c r="C63" s="322"/>
      <c r="D63" s="101" t="s">
        <v>62</v>
      </c>
      <c r="E63" s="98" t="s">
        <v>446</v>
      </c>
      <c r="F63" s="82">
        <v>1460</v>
      </c>
      <c r="G63" s="82">
        <v>277.42099999999999</v>
      </c>
      <c r="H63" s="82">
        <f t="shared" si="9"/>
        <v>1182.579</v>
      </c>
    </row>
    <row r="64" spans="1:8" ht="30">
      <c r="A64" s="99" t="s">
        <v>118</v>
      </c>
      <c r="B64" s="100" t="s">
        <v>53</v>
      </c>
      <c r="C64" s="322"/>
      <c r="D64" s="101" t="s">
        <v>62</v>
      </c>
      <c r="E64" s="98" t="s">
        <v>447</v>
      </c>
      <c r="F64" s="82">
        <v>2240</v>
      </c>
      <c r="G64" s="82">
        <v>1250.21</v>
      </c>
      <c r="H64" s="128">
        <f>F64-G64</f>
        <v>989.79</v>
      </c>
    </row>
    <row r="65" spans="1:8" ht="30">
      <c r="A65" s="99" t="s">
        <v>119</v>
      </c>
      <c r="B65" s="102" t="s">
        <v>448</v>
      </c>
      <c r="C65" s="322"/>
      <c r="D65" s="103" t="s">
        <v>62</v>
      </c>
      <c r="E65" s="98" t="s">
        <v>449</v>
      </c>
      <c r="F65" s="82">
        <v>1100</v>
      </c>
      <c r="G65" s="82">
        <v>697.428</v>
      </c>
      <c r="H65" s="82">
        <f t="shared" si="9"/>
        <v>402.572</v>
      </c>
    </row>
    <row r="66" spans="1:8" ht="30">
      <c r="A66" s="99" t="s">
        <v>120</v>
      </c>
      <c r="B66" s="102" t="s">
        <v>450</v>
      </c>
      <c r="C66" s="319"/>
      <c r="D66" s="103" t="s">
        <v>62</v>
      </c>
      <c r="E66" s="106" t="s">
        <v>451</v>
      </c>
      <c r="F66" s="82">
        <v>8876</v>
      </c>
      <c r="G66" s="82">
        <v>7755.93</v>
      </c>
      <c r="H66" s="82">
        <f t="shared" si="9"/>
        <v>1120.0699999999997</v>
      </c>
    </row>
    <row r="67" spans="1:8" ht="45">
      <c r="A67" s="99" t="s">
        <v>122</v>
      </c>
      <c r="B67" s="107" t="s">
        <v>453</v>
      </c>
      <c r="C67" s="116" t="s">
        <v>452</v>
      </c>
      <c r="D67" s="88" t="s">
        <v>121</v>
      </c>
      <c r="E67" s="80" t="s">
        <v>454</v>
      </c>
      <c r="F67" s="82">
        <v>400</v>
      </c>
      <c r="G67" s="82">
        <v>395.988</v>
      </c>
      <c r="H67" s="82">
        <f t="shared" si="9"/>
        <v>4.0120000000000005</v>
      </c>
    </row>
    <row r="68" spans="1:8" ht="15">
      <c r="A68" s="99" t="s">
        <v>455</v>
      </c>
      <c r="B68" s="107" t="s">
        <v>456</v>
      </c>
      <c r="C68" s="318" t="s">
        <v>457</v>
      </c>
      <c r="D68" s="88" t="s">
        <v>121</v>
      </c>
      <c r="E68" s="80" t="s">
        <v>458</v>
      </c>
      <c r="F68" s="82">
        <v>495</v>
      </c>
      <c r="G68" s="47">
        <v>456.18200000000002</v>
      </c>
      <c r="H68" s="82">
        <f t="shared" si="9"/>
        <v>38.817999999999984</v>
      </c>
    </row>
    <row r="69" spans="1:8" ht="15">
      <c r="A69" s="99" t="s">
        <v>459</v>
      </c>
      <c r="B69" s="107" t="s">
        <v>460</v>
      </c>
      <c r="C69" s="319"/>
      <c r="D69" s="88" t="s">
        <v>121</v>
      </c>
      <c r="E69" s="80" t="s">
        <v>461</v>
      </c>
      <c r="F69" s="82">
        <v>600</v>
      </c>
      <c r="G69" s="47">
        <v>579.70600000000002</v>
      </c>
      <c r="H69" s="82">
        <f t="shared" si="9"/>
        <v>20.293999999999983</v>
      </c>
    </row>
    <row r="70" spans="1:8" ht="30">
      <c r="A70" s="99" t="s">
        <v>462</v>
      </c>
      <c r="B70" s="107" t="s">
        <v>463</v>
      </c>
      <c r="C70" s="318" t="s">
        <v>464</v>
      </c>
      <c r="D70" s="101" t="s">
        <v>123</v>
      </c>
      <c r="E70" s="98" t="s">
        <v>465</v>
      </c>
      <c r="F70" s="82">
        <v>180</v>
      </c>
      <c r="G70" s="82">
        <v>177.01</v>
      </c>
      <c r="H70" s="82">
        <f t="shared" si="9"/>
        <v>2.9900000000000091</v>
      </c>
    </row>
    <row r="71" spans="1:8" ht="29.25" customHeight="1">
      <c r="A71" s="99" t="s">
        <v>466</v>
      </c>
      <c r="B71" s="107" t="s">
        <v>467</v>
      </c>
      <c r="C71" s="322"/>
      <c r="D71" s="101" t="s">
        <v>123</v>
      </c>
      <c r="E71" s="98" t="s">
        <v>468</v>
      </c>
      <c r="F71" s="82">
        <v>620</v>
      </c>
      <c r="G71" s="82">
        <v>619.31799999999998</v>
      </c>
      <c r="H71" s="82">
        <f t="shared" si="9"/>
        <v>0.68200000000001637</v>
      </c>
    </row>
    <row r="72" spans="1:8" ht="30">
      <c r="A72" s="99" t="s">
        <v>469</v>
      </c>
      <c r="B72" s="107" t="s">
        <v>470</v>
      </c>
      <c r="C72" s="319"/>
      <c r="D72" s="101" t="s">
        <v>123</v>
      </c>
      <c r="E72" s="98" t="s">
        <v>471</v>
      </c>
      <c r="F72" s="82">
        <v>800</v>
      </c>
      <c r="G72" s="82">
        <v>799.18799999999999</v>
      </c>
      <c r="H72" s="82">
        <f t="shared" si="9"/>
        <v>0.81200000000001182</v>
      </c>
    </row>
    <row r="73" spans="1:8" ht="45">
      <c r="A73" s="99" t="s">
        <v>472</v>
      </c>
      <c r="B73" s="100" t="s">
        <v>60</v>
      </c>
      <c r="C73" s="88" t="s">
        <v>473</v>
      </c>
      <c r="D73" s="88" t="s">
        <v>124</v>
      </c>
      <c r="E73" s="98" t="s">
        <v>474</v>
      </c>
      <c r="F73" s="82">
        <v>1072</v>
      </c>
      <c r="G73" s="87">
        <v>1033.4525000000001</v>
      </c>
      <c r="H73" s="82">
        <f t="shared" si="9"/>
        <v>38.5474999999999</v>
      </c>
    </row>
    <row r="74" spans="1:8" ht="60">
      <c r="A74" s="99" t="s">
        <v>475</v>
      </c>
      <c r="B74" s="108" t="s">
        <v>476</v>
      </c>
      <c r="C74" s="116" t="s">
        <v>125</v>
      </c>
      <c r="D74" s="103" t="s">
        <v>126</v>
      </c>
      <c r="E74" s="106" t="s">
        <v>477</v>
      </c>
      <c r="F74" s="82">
        <v>130</v>
      </c>
      <c r="G74" s="87" t="s">
        <v>333</v>
      </c>
      <c r="H74" s="82">
        <f t="shared" si="9"/>
        <v>130</v>
      </c>
    </row>
    <row r="75" spans="1:8" ht="60">
      <c r="A75" s="99" t="s">
        <v>478</v>
      </c>
      <c r="B75" s="108" t="s">
        <v>479</v>
      </c>
      <c r="C75" s="116" t="s">
        <v>125</v>
      </c>
      <c r="D75" s="103" t="s">
        <v>126</v>
      </c>
      <c r="E75" s="106" t="s">
        <v>480</v>
      </c>
      <c r="F75" s="82">
        <v>500</v>
      </c>
      <c r="G75" s="82"/>
      <c r="H75" s="82">
        <f t="shared" si="9"/>
        <v>500</v>
      </c>
    </row>
    <row r="76" spans="1:8" ht="60">
      <c r="A76" s="99" t="s">
        <v>481</v>
      </c>
      <c r="B76" s="108" t="s">
        <v>482</v>
      </c>
      <c r="C76" s="116" t="s">
        <v>125</v>
      </c>
      <c r="D76" s="103" t="s">
        <v>126</v>
      </c>
      <c r="E76" s="106" t="s">
        <v>483</v>
      </c>
      <c r="F76" s="82">
        <v>800</v>
      </c>
      <c r="G76" s="82"/>
      <c r="H76" s="82">
        <f t="shared" si="9"/>
        <v>800</v>
      </c>
    </row>
    <row r="77" spans="1:8" ht="30">
      <c r="A77" s="99" t="s">
        <v>484</v>
      </c>
      <c r="B77" s="107" t="s">
        <v>485</v>
      </c>
      <c r="C77" s="318" t="s">
        <v>486</v>
      </c>
      <c r="D77" s="109" t="s">
        <v>127</v>
      </c>
      <c r="E77" s="106" t="s">
        <v>487</v>
      </c>
      <c r="F77" s="82">
        <v>600</v>
      </c>
      <c r="G77" s="82"/>
      <c r="H77" s="82">
        <f t="shared" si="9"/>
        <v>600</v>
      </c>
    </row>
    <row r="78" spans="1:8" ht="30">
      <c r="A78" s="99" t="s">
        <v>488</v>
      </c>
      <c r="B78" s="107" t="s">
        <v>489</v>
      </c>
      <c r="C78" s="319"/>
      <c r="D78" s="109" t="s">
        <v>127</v>
      </c>
      <c r="E78" s="106" t="s">
        <v>490</v>
      </c>
      <c r="F78" s="82">
        <v>500</v>
      </c>
      <c r="G78" s="82"/>
      <c r="H78" s="82">
        <f t="shared" si="9"/>
        <v>500</v>
      </c>
    </row>
    <row r="79" spans="1:8" ht="15">
      <c r="A79" s="99" t="s">
        <v>491</v>
      </c>
      <c r="B79" s="107" t="s">
        <v>492</v>
      </c>
      <c r="C79" s="318" t="s">
        <v>493</v>
      </c>
      <c r="D79" s="103" t="s">
        <v>128</v>
      </c>
      <c r="E79" s="106" t="s">
        <v>494</v>
      </c>
      <c r="F79" s="82">
        <v>600</v>
      </c>
      <c r="G79" s="82"/>
      <c r="H79" s="82">
        <f t="shared" si="9"/>
        <v>600</v>
      </c>
    </row>
    <row r="80" spans="1:8" ht="15">
      <c r="A80" s="99" t="s">
        <v>495</v>
      </c>
      <c r="B80" s="107" t="s">
        <v>496</v>
      </c>
      <c r="C80" s="319"/>
      <c r="D80" s="103" t="s">
        <v>128</v>
      </c>
      <c r="E80" s="106" t="s">
        <v>497</v>
      </c>
      <c r="F80" s="82">
        <v>600</v>
      </c>
      <c r="G80" s="82"/>
      <c r="H80" s="82">
        <f t="shared" si="9"/>
        <v>600</v>
      </c>
    </row>
    <row r="81" spans="1:8" ht="45">
      <c r="A81" s="99" t="s">
        <v>498</v>
      </c>
      <c r="B81" s="107" t="s">
        <v>499</v>
      </c>
      <c r="C81" s="88" t="s">
        <v>500</v>
      </c>
      <c r="D81" s="101" t="s">
        <v>129</v>
      </c>
      <c r="E81" s="106" t="s">
        <v>501</v>
      </c>
      <c r="F81" s="82">
        <v>800</v>
      </c>
      <c r="G81" s="82"/>
      <c r="H81" s="82">
        <f t="shared" si="9"/>
        <v>800</v>
      </c>
    </row>
    <row r="82" spans="1:8" ht="30">
      <c r="A82" s="99" t="s">
        <v>502</v>
      </c>
      <c r="B82" s="107" t="s">
        <v>503</v>
      </c>
      <c r="C82" s="88" t="s">
        <v>143</v>
      </c>
      <c r="D82" s="101" t="s">
        <v>129</v>
      </c>
      <c r="E82" s="98" t="s">
        <v>504</v>
      </c>
      <c r="F82" s="82">
        <v>800</v>
      </c>
      <c r="G82" s="82">
        <f>741.385</f>
        <v>741.38499999999999</v>
      </c>
      <c r="H82" s="82">
        <f t="shared" si="9"/>
        <v>58.615000000000009</v>
      </c>
    </row>
    <row r="83" spans="1:8" ht="60">
      <c r="A83" s="99" t="s">
        <v>506</v>
      </c>
      <c r="B83" s="107" t="s">
        <v>507</v>
      </c>
      <c r="C83" s="116" t="s">
        <v>505</v>
      </c>
      <c r="D83" s="101" t="s">
        <v>130</v>
      </c>
      <c r="E83" s="98" t="s">
        <v>508</v>
      </c>
      <c r="F83" s="82">
        <v>140</v>
      </c>
      <c r="G83" s="87" t="s">
        <v>333</v>
      </c>
      <c r="H83" s="82">
        <f t="shared" si="9"/>
        <v>140</v>
      </c>
    </row>
    <row r="84" spans="1:8" ht="60">
      <c r="A84" s="99" t="s">
        <v>509</v>
      </c>
      <c r="B84" s="107" t="s">
        <v>510</v>
      </c>
      <c r="C84" s="116" t="s">
        <v>505</v>
      </c>
      <c r="D84" s="101" t="s">
        <v>130</v>
      </c>
      <c r="E84" s="98" t="s">
        <v>511</v>
      </c>
      <c r="F84" s="82">
        <v>535</v>
      </c>
      <c r="G84" s="82"/>
      <c r="H84" s="82">
        <f t="shared" si="9"/>
        <v>535</v>
      </c>
    </row>
    <row r="85" spans="1:8" ht="30">
      <c r="A85" s="99" t="s">
        <v>512</v>
      </c>
      <c r="B85" s="107" t="s">
        <v>513</v>
      </c>
      <c r="C85" s="318" t="s">
        <v>514</v>
      </c>
      <c r="D85" s="101" t="s">
        <v>131</v>
      </c>
      <c r="E85" s="98" t="s">
        <v>515</v>
      </c>
      <c r="F85" s="82">
        <v>600</v>
      </c>
      <c r="G85" s="82">
        <v>598.29999999999995</v>
      </c>
      <c r="H85" s="82">
        <f t="shared" si="9"/>
        <v>1.7000000000000455</v>
      </c>
    </row>
    <row r="86" spans="1:8" ht="15">
      <c r="A86" s="99" t="s">
        <v>516</v>
      </c>
      <c r="B86" s="107" t="s">
        <v>517</v>
      </c>
      <c r="C86" s="319"/>
      <c r="D86" s="101" t="s">
        <v>131</v>
      </c>
      <c r="E86" s="98" t="s">
        <v>518</v>
      </c>
      <c r="F86" s="82">
        <v>550</v>
      </c>
      <c r="G86" s="82">
        <v>548.15499999999997</v>
      </c>
      <c r="H86" s="82">
        <f t="shared" si="9"/>
        <v>1.8450000000000273</v>
      </c>
    </row>
    <row r="87" spans="1:8" ht="45">
      <c r="A87" s="110" t="s">
        <v>519</v>
      </c>
      <c r="B87" s="111" t="s">
        <v>520</v>
      </c>
      <c r="C87" s="112" t="s">
        <v>142</v>
      </c>
      <c r="D87" s="112" t="s">
        <v>132</v>
      </c>
      <c r="E87" s="113" t="s">
        <v>521</v>
      </c>
      <c r="F87" s="114">
        <v>1150</v>
      </c>
      <c r="G87" s="82">
        <v>1114.9390000000001</v>
      </c>
      <c r="H87" s="82">
        <f t="shared" si="9"/>
        <v>35.060999999999922</v>
      </c>
    </row>
    <row r="88" spans="1:8" ht="30" customHeight="1">
      <c r="A88" s="99" t="s">
        <v>522</v>
      </c>
      <c r="B88" s="107" t="s">
        <v>523</v>
      </c>
      <c r="C88" s="116" t="s">
        <v>524</v>
      </c>
      <c r="D88" s="88" t="s">
        <v>133</v>
      </c>
      <c r="E88" s="113" t="s">
        <v>525</v>
      </c>
      <c r="F88" s="82">
        <v>300</v>
      </c>
      <c r="G88" s="87"/>
      <c r="H88" s="82">
        <f t="shared" si="9"/>
        <v>300</v>
      </c>
    </row>
    <row r="89" spans="1:8" ht="45">
      <c r="A89" s="99" t="s">
        <v>526</v>
      </c>
      <c r="B89" s="107" t="s">
        <v>527</v>
      </c>
      <c r="C89" s="116" t="s">
        <v>524</v>
      </c>
      <c r="D89" s="88" t="s">
        <v>133</v>
      </c>
      <c r="E89" s="113" t="s">
        <v>528</v>
      </c>
      <c r="F89" s="82">
        <v>600</v>
      </c>
      <c r="G89" s="87"/>
      <c r="H89" s="82">
        <f t="shared" si="9"/>
        <v>600</v>
      </c>
    </row>
    <row r="90" spans="1:8" ht="28.5">
      <c r="A90" s="75" t="s">
        <v>12</v>
      </c>
      <c r="B90" s="76" t="s">
        <v>30</v>
      </c>
      <c r="C90" s="76"/>
      <c r="D90" s="76"/>
      <c r="E90" s="76"/>
      <c r="F90" s="77">
        <f t="shared" ref="F90" si="10">F91</f>
        <v>16134</v>
      </c>
      <c r="G90" s="77">
        <f>G91</f>
        <v>7413.4315000000006</v>
      </c>
      <c r="H90" s="77">
        <f>H91</f>
        <v>8720.5684999999994</v>
      </c>
    </row>
    <row r="91" spans="1:8" ht="28.5" hidden="1">
      <c r="A91" s="78">
        <v>1</v>
      </c>
      <c r="B91" s="73" t="s">
        <v>529</v>
      </c>
      <c r="C91" s="73"/>
      <c r="D91" s="73"/>
      <c r="E91" s="73"/>
      <c r="F91" s="74">
        <f>SUM(F92:F111)</f>
        <v>16134</v>
      </c>
      <c r="G91" s="74">
        <f>SUM(G92:G111)</f>
        <v>7413.4315000000006</v>
      </c>
      <c r="H91" s="74">
        <f>SUM(H92:H111)</f>
        <v>8720.5684999999994</v>
      </c>
    </row>
    <row r="92" spans="1:8" ht="30">
      <c r="A92" s="103">
        <v>1</v>
      </c>
      <c r="B92" s="107" t="s">
        <v>530</v>
      </c>
      <c r="C92" s="318" t="s">
        <v>452</v>
      </c>
      <c r="D92" s="88" t="s">
        <v>121</v>
      </c>
      <c r="E92" s="80" t="s">
        <v>531</v>
      </c>
      <c r="F92" s="82">
        <v>1110</v>
      </c>
      <c r="G92" s="82">
        <v>1107.498</v>
      </c>
      <c r="H92" s="82">
        <f t="shared" ref="H92:H111" si="11">F92-G92</f>
        <v>2.5019999999999527</v>
      </c>
    </row>
    <row r="93" spans="1:8" ht="30">
      <c r="A93" s="103">
        <v>2</v>
      </c>
      <c r="B93" s="107" t="s">
        <v>532</v>
      </c>
      <c r="C93" s="319"/>
      <c r="D93" s="88" t="s">
        <v>121</v>
      </c>
      <c r="E93" s="80" t="s">
        <v>533</v>
      </c>
      <c r="F93" s="82">
        <v>600</v>
      </c>
      <c r="G93" s="82">
        <v>598.60500000000002</v>
      </c>
      <c r="H93" s="82">
        <f t="shared" si="11"/>
        <v>1.3949999999999818</v>
      </c>
    </row>
    <row r="94" spans="1:8" ht="45">
      <c r="A94" s="103">
        <v>3</v>
      </c>
      <c r="B94" s="107" t="s">
        <v>534</v>
      </c>
      <c r="C94" s="88" t="s">
        <v>464</v>
      </c>
      <c r="D94" s="88" t="s">
        <v>123</v>
      </c>
      <c r="E94" s="80" t="s">
        <v>535</v>
      </c>
      <c r="F94" s="82">
        <v>1150</v>
      </c>
      <c r="G94" s="90">
        <v>1143.4549999999999</v>
      </c>
      <c r="H94" s="82">
        <f t="shared" si="11"/>
        <v>6.5450000000000728</v>
      </c>
    </row>
    <row r="95" spans="1:8" ht="45">
      <c r="A95" s="103">
        <v>4</v>
      </c>
      <c r="B95" s="107" t="s">
        <v>536</v>
      </c>
      <c r="C95" s="88" t="s">
        <v>537</v>
      </c>
      <c r="D95" s="88" t="s">
        <v>123</v>
      </c>
      <c r="E95" s="80" t="s">
        <v>538</v>
      </c>
      <c r="F95" s="82">
        <v>250</v>
      </c>
      <c r="G95" s="82">
        <v>233.76400000000001</v>
      </c>
      <c r="H95" s="82">
        <f t="shared" si="11"/>
        <v>16.23599999999999</v>
      </c>
    </row>
    <row r="96" spans="1:8" ht="45">
      <c r="A96" s="103">
        <v>5</v>
      </c>
      <c r="B96" s="107" t="s">
        <v>539</v>
      </c>
      <c r="C96" s="88" t="s">
        <v>464</v>
      </c>
      <c r="D96" s="88" t="s">
        <v>123</v>
      </c>
      <c r="E96" s="80" t="s">
        <v>540</v>
      </c>
      <c r="F96" s="82">
        <v>306</v>
      </c>
      <c r="G96" s="82">
        <v>304.59699999999998</v>
      </c>
      <c r="H96" s="82">
        <f t="shared" si="11"/>
        <v>1.40300000000002</v>
      </c>
    </row>
    <row r="97" spans="1:8" ht="30" customHeight="1">
      <c r="A97" s="103">
        <v>6</v>
      </c>
      <c r="B97" s="107" t="s">
        <v>541</v>
      </c>
      <c r="C97" s="116" t="s">
        <v>473</v>
      </c>
      <c r="D97" s="88" t="s">
        <v>542</v>
      </c>
      <c r="E97" s="80" t="s">
        <v>543</v>
      </c>
      <c r="F97" s="82">
        <v>970</v>
      </c>
      <c r="G97" s="82">
        <v>966.40150000000006</v>
      </c>
      <c r="H97" s="82">
        <f t="shared" si="11"/>
        <v>3.5984999999999445</v>
      </c>
    </row>
    <row r="98" spans="1:8" ht="45">
      <c r="A98" s="103">
        <v>8</v>
      </c>
      <c r="B98" s="107" t="s">
        <v>544</v>
      </c>
      <c r="C98" s="116" t="s">
        <v>473</v>
      </c>
      <c r="D98" s="88" t="s">
        <v>542</v>
      </c>
      <c r="E98" s="80" t="s">
        <v>545</v>
      </c>
      <c r="F98" s="82">
        <v>706</v>
      </c>
      <c r="G98" s="82">
        <v>703.43200000000002</v>
      </c>
      <c r="H98" s="82">
        <f t="shared" si="11"/>
        <v>2.5679999999999836</v>
      </c>
    </row>
    <row r="99" spans="1:8" ht="15">
      <c r="A99" s="103">
        <v>11</v>
      </c>
      <c r="B99" s="107" t="s">
        <v>546</v>
      </c>
      <c r="C99" s="318" t="s">
        <v>486</v>
      </c>
      <c r="D99" s="88" t="s">
        <v>127</v>
      </c>
      <c r="E99" s="80" t="s">
        <v>547</v>
      </c>
      <c r="F99" s="82">
        <v>906</v>
      </c>
      <c r="G99" s="87"/>
      <c r="H99" s="82">
        <f t="shared" si="11"/>
        <v>906</v>
      </c>
    </row>
    <row r="100" spans="1:8" ht="30">
      <c r="A100" s="103">
        <v>12</v>
      </c>
      <c r="B100" s="107" t="s">
        <v>548</v>
      </c>
      <c r="C100" s="319"/>
      <c r="D100" s="88" t="s">
        <v>127</v>
      </c>
      <c r="E100" s="80" t="s">
        <v>549</v>
      </c>
      <c r="F100" s="82">
        <v>800</v>
      </c>
      <c r="G100" s="82"/>
      <c r="H100" s="82">
        <f t="shared" si="11"/>
        <v>800</v>
      </c>
    </row>
    <row r="101" spans="1:8" ht="15">
      <c r="A101" s="103">
        <v>13</v>
      </c>
      <c r="B101" s="107" t="s">
        <v>550</v>
      </c>
      <c r="C101" s="318" t="s">
        <v>493</v>
      </c>
      <c r="D101" s="88" t="s">
        <v>128</v>
      </c>
      <c r="E101" s="80" t="s">
        <v>551</v>
      </c>
      <c r="F101" s="82">
        <v>1256</v>
      </c>
      <c r="G101" s="87" t="s">
        <v>333</v>
      </c>
      <c r="H101" s="82">
        <f t="shared" si="11"/>
        <v>1256</v>
      </c>
    </row>
    <row r="102" spans="1:8" ht="15">
      <c r="A102" s="103">
        <v>14</v>
      </c>
      <c r="B102" s="107" t="s">
        <v>552</v>
      </c>
      <c r="C102" s="319"/>
      <c r="D102" s="88" t="s">
        <v>128</v>
      </c>
      <c r="E102" s="80" t="s">
        <v>553</v>
      </c>
      <c r="F102" s="82">
        <v>450</v>
      </c>
      <c r="G102" s="87" t="s">
        <v>333</v>
      </c>
      <c r="H102" s="82">
        <f t="shared" si="11"/>
        <v>450</v>
      </c>
    </row>
    <row r="103" spans="1:8" ht="30">
      <c r="A103" s="103">
        <v>15</v>
      </c>
      <c r="B103" s="107" t="s">
        <v>554</v>
      </c>
      <c r="C103" s="318" t="s">
        <v>500</v>
      </c>
      <c r="D103" s="88" t="s">
        <v>129</v>
      </c>
      <c r="E103" s="80" t="s">
        <v>555</v>
      </c>
      <c r="F103" s="82">
        <v>900</v>
      </c>
      <c r="G103" s="87"/>
      <c r="H103" s="82">
        <f t="shared" si="11"/>
        <v>900</v>
      </c>
    </row>
    <row r="104" spans="1:8" ht="15">
      <c r="A104" s="103">
        <v>16</v>
      </c>
      <c r="B104" s="107" t="s">
        <v>556</v>
      </c>
      <c r="C104" s="319"/>
      <c r="D104" s="88" t="s">
        <v>129</v>
      </c>
      <c r="E104" s="80" t="s">
        <v>557</v>
      </c>
      <c r="F104" s="82">
        <v>806</v>
      </c>
      <c r="G104" s="82"/>
      <c r="H104" s="82">
        <f t="shared" si="11"/>
        <v>806</v>
      </c>
    </row>
    <row r="105" spans="1:8" ht="15">
      <c r="A105" s="103">
        <v>17</v>
      </c>
      <c r="B105" s="107" t="s">
        <v>558</v>
      </c>
      <c r="C105" s="318" t="s">
        <v>559</v>
      </c>
      <c r="D105" s="88" t="s">
        <v>130</v>
      </c>
      <c r="E105" s="80" t="s">
        <v>560</v>
      </c>
      <c r="F105" s="82">
        <v>1046</v>
      </c>
      <c r="G105" s="82"/>
      <c r="H105" s="82">
        <f t="shared" si="11"/>
        <v>1046</v>
      </c>
    </row>
    <row r="106" spans="1:8" ht="15">
      <c r="A106" s="103">
        <v>18</v>
      </c>
      <c r="B106" s="107" t="s">
        <v>561</v>
      </c>
      <c r="C106" s="319"/>
      <c r="D106" s="88" t="s">
        <v>130</v>
      </c>
      <c r="E106" s="80" t="s">
        <v>562</v>
      </c>
      <c r="F106" s="82">
        <v>660</v>
      </c>
      <c r="G106" s="82"/>
      <c r="H106" s="82">
        <f t="shared" si="11"/>
        <v>660</v>
      </c>
    </row>
    <row r="107" spans="1:8" ht="15">
      <c r="A107" s="103">
        <v>19</v>
      </c>
      <c r="B107" s="107" t="s">
        <v>563</v>
      </c>
      <c r="C107" s="318" t="s">
        <v>514</v>
      </c>
      <c r="D107" s="88" t="s">
        <v>131</v>
      </c>
      <c r="E107" s="80" t="s">
        <v>564</v>
      </c>
      <c r="F107" s="82">
        <v>1106</v>
      </c>
      <c r="G107" s="87">
        <v>1103.1500000000001</v>
      </c>
      <c r="H107" s="82">
        <f t="shared" si="11"/>
        <v>2.8499999999999091</v>
      </c>
    </row>
    <row r="108" spans="1:8" ht="15">
      <c r="A108" s="103">
        <v>20</v>
      </c>
      <c r="B108" s="107" t="s">
        <v>565</v>
      </c>
      <c r="C108" s="319"/>
      <c r="D108" s="88" t="s">
        <v>131</v>
      </c>
      <c r="E108" s="80" t="s">
        <v>566</v>
      </c>
      <c r="F108" s="82">
        <v>600</v>
      </c>
      <c r="G108" s="82"/>
      <c r="H108" s="82">
        <f t="shared" si="11"/>
        <v>600</v>
      </c>
    </row>
    <row r="109" spans="1:8" ht="15">
      <c r="A109" s="115">
        <v>21</v>
      </c>
      <c r="B109" s="111" t="s">
        <v>567</v>
      </c>
      <c r="C109" s="343" t="s">
        <v>568</v>
      </c>
      <c r="D109" s="112" t="s">
        <v>132</v>
      </c>
      <c r="E109" s="113" t="s">
        <v>569</v>
      </c>
      <c r="F109" s="114">
        <v>1266</v>
      </c>
      <c r="G109" s="114">
        <v>1252.529</v>
      </c>
      <c r="H109" s="82">
        <f t="shared" si="11"/>
        <v>13.471000000000004</v>
      </c>
    </row>
    <row r="110" spans="1:8" ht="30">
      <c r="A110" s="115">
        <v>22</v>
      </c>
      <c r="B110" s="111" t="s">
        <v>570</v>
      </c>
      <c r="C110" s="344"/>
      <c r="D110" s="112" t="s">
        <v>132</v>
      </c>
      <c r="E110" s="113" t="s">
        <v>571</v>
      </c>
      <c r="F110" s="114">
        <v>440</v>
      </c>
      <c r="G110" s="114"/>
      <c r="H110" s="82">
        <f t="shared" si="11"/>
        <v>440</v>
      </c>
    </row>
    <row r="111" spans="1:8" ht="15">
      <c r="A111" s="103">
        <v>24</v>
      </c>
      <c r="B111" s="107" t="s">
        <v>572</v>
      </c>
      <c r="C111" s="118"/>
      <c r="D111" s="88" t="s">
        <v>133</v>
      </c>
      <c r="E111" s="80" t="s">
        <v>573</v>
      </c>
      <c r="F111" s="82">
        <v>806</v>
      </c>
      <c r="G111" s="87"/>
      <c r="H111" s="82">
        <f t="shared" si="11"/>
        <v>806</v>
      </c>
    </row>
  </sheetData>
  <mergeCells count="19">
    <mergeCell ref="C107:C108"/>
    <mergeCell ref="C109:C110"/>
    <mergeCell ref="C99:C100"/>
    <mergeCell ref="C101:C102"/>
    <mergeCell ref="C103:C104"/>
    <mergeCell ref="C105:C106"/>
    <mergeCell ref="C77:C78"/>
    <mergeCell ref="C79:C80"/>
    <mergeCell ref="C85:C86"/>
    <mergeCell ref="C92:C93"/>
    <mergeCell ref="C37:C45"/>
    <mergeCell ref="C51:C66"/>
    <mergeCell ref="C68:C69"/>
    <mergeCell ref="C70:C72"/>
    <mergeCell ref="A4:B4"/>
    <mergeCell ref="C8:C9"/>
    <mergeCell ref="C25:C27"/>
    <mergeCell ref="C28:C31"/>
    <mergeCell ref="C32:C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ColWidth="9.28515625" defaultRowHeight="12.75"/>
  <cols>
    <col min="1" max="1" width="6.140625" style="23" customWidth="1"/>
    <col min="2" max="2" width="36.140625" style="23" customWidth="1"/>
    <col min="3" max="3" width="15.140625" style="23" customWidth="1"/>
    <col min="4" max="6" width="15" style="23" customWidth="1"/>
    <col min="7" max="16384" width="9.28515625" style="23"/>
  </cols>
  <sheetData>
    <row r="4" spans="1:6" ht="12.75" customHeight="1">
      <c r="A4" s="353" t="s">
        <v>0</v>
      </c>
      <c r="B4" s="353" t="s">
        <v>141</v>
      </c>
      <c r="C4" s="354" t="s">
        <v>71</v>
      </c>
      <c r="D4" s="225" t="s">
        <v>318</v>
      </c>
      <c r="E4" s="226" t="s">
        <v>585</v>
      </c>
      <c r="F4" s="345" t="s">
        <v>586</v>
      </c>
    </row>
    <row r="5" spans="1:6" ht="25.5">
      <c r="A5" s="353"/>
      <c r="B5" s="353"/>
      <c r="C5" s="355"/>
      <c r="D5" s="133" t="s">
        <v>136</v>
      </c>
      <c r="E5" s="134" t="s">
        <v>134</v>
      </c>
      <c r="F5" s="346"/>
    </row>
    <row r="6" spans="1:6">
      <c r="A6" s="135"/>
      <c r="B6" s="135" t="s">
        <v>7</v>
      </c>
      <c r="C6" s="135"/>
      <c r="D6" s="136">
        <f>D7+D33+D41</f>
        <v>22557.893</v>
      </c>
      <c r="E6" s="137">
        <f>E7+E33+E41</f>
        <v>10179.596229999999</v>
      </c>
      <c r="F6" s="137">
        <f>F7+F33+F41</f>
        <v>12378.296770000001</v>
      </c>
    </row>
    <row r="7" spans="1:6" ht="25.5">
      <c r="A7" s="138" t="s">
        <v>137</v>
      </c>
      <c r="B7" s="138" t="s">
        <v>587</v>
      </c>
      <c r="C7" s="138"/>
      <c r="D7" s="139">
        <f t="shared" ref="D7:F7" si="0">D8+D11+D23+D25+D29</f>
        <v>7573</v>
      </c>
      <c r="E7" s="139">
        <f t="shared" si="0"/>
        <v>3100.8510000000001</v>
      </c>
      <c r="F7" s="139">
        <f t="shared" si="0"/>
        <v>4472.1490000000003</v>
      </c>
    </row>
    <row r="8" spans="1:6" ht="25.5">
      <c r="A8" s="140" t="s">
        <v>3</v>
      </c>
      <c r="B8" s="141" t="s">
        <v>588</v>
      </c>
      <c r="C8" s="142"/>
      <c r="D8" s="143">
        <f t="shared" ref="D8" si="1">SUM(D9:D10)</f>
        <v>1934</v>
      </c>
      <c r="E8" s="144">
        <f>SUM(E9:E10)</f>
        <v>1908.7339999999999</v>
      </c>
      <c r="F8" s="144">
        <f>SUM(F9:F10)</f>
        <v>25.266000000000076</v>
      </c>
    </row>
    <row r="9" spans="1:6" ht="38.25">
      <c r="A9" s="145">
        <v>1</v>
      </c>
      <c r="B9" s="146" t="s">
        <v>589</v>
      </c>
      <c r="C9" s="147" t="s">
        <v>47</v>
      </c>
      <c r="D9" s="148">
        <v>934</v>
      </c>
      <c r="E9" s="149">
        <v>908.93</v>
      </c>
      <c r="F9" s="150">
        <f>D9-E9</f>
        <v>25.07000000000005</v>
      </c>
    </row>
    <row r="10" spans="1:6" ht="25.5">
      <c r="A10" s="145">
        <v>2</v>
      </c>
      <c r="B10" s="151" t="s">
        <v>590</v>
      </c>
      <c r="C10" s="152" t="s">
        <v>126</v>
      </c>
      <c r="D10" s="148">
        <v>1000</v>
      </c>
      <c r="E10" s="153">
        <v>999.80399999999997</v>
      </c>
      <c r="F10" s="150">
        <f>D10-E10</f>
        <v>0.19600000000002638</v>
      </c>
    </row>
    <row r="11" spans="1:6" ht="25.5">
      <c r="A11" s="154" t="s">
        <v>5</v>
      </c>
      <c r="B11" s="155" t="s">
        <v>306</v>
      </c>
      <c r="C11" s="156"/>
      <c r="D11" s="157">
        <f>SUM(D12:D22)</f>
        <v>2315</v>
      </c>
      <c r="E11" s="158">
        <f>SUM(E12:E22)</f>
        <v>440.82799999999997</v>
      </c>
      <c r="F11" s="158">
        <f t="shared" ref="F11" si="2">SUM(F12:F22)</f>
        <v>1874.172</v>
      </c>
    </row>
    <row r="12" spans="1:6">
      <c r="A12" s="159">
        <v>1</v>
      </c>
      <c r="B12" s="160" t="s">
        <v>41</v>
      </c>
      <c r="C12" s="161" t="s">
        <v>41</v>
      </c>
      <c r="D12" s="148">
        <v>200</v>
      </c>
      <c r="E12" s="162"/>
      <c r="F12" s="150">
        <f t="shared" ref="F12:F22" si="3">D12-E12</f>
        <v>200</v>
      </c>
    </row>
    <row r="13" spans="1:6">
      <c r="A13" s="163">
        <v>2</v>
      </c>
      <c r="B13" s="164" t="s">
        <v>42</v>
      </c>
      <c r="C13" s="165" t="s">
        <v>42</v>
      </c>
      <c r="D13" s="166">
        <v>215</v>
      </c>
      <c r="E13" s="167">
        <v>147.80000000000001</v>
      </c>
      <c r="F13" s="168">
        <f t="shared" si="3"/>
        <v>67.199999999999989</v>
      </c>
    </row>
    <row r="14" spans="1:6">
      <c r="A14" s="163">
        <v>3</v>
      </c>
      <c r="B14" s="164" t="s">
        <v>43</v>
      </c>
      <c r="C14" s="165" t="s">
        <v>43</v>
      </c>
      <c r="D14" s="166">
        <v>200</v>
      </c>
      <c r="E14" s="169">
        <v>148.02799999999999</v>
      </c>
      <c r="F14" s="168">
        <f t="shared" si="3"/>
        <v>51.972000000000008</v>
      </c>
    </row>
    <row r="15" spans="1:6">
      <c r="A15" s="163">
        <v>4</v>
      </c>
      <c r="B15" s="164" t="s">
        <v>51</v>
      </c>
      <c r="C15" s="165" t="s">
        <v>51</v>
      </c>
      <c r="D15" s="166">
        <v>200</v>
      </c>
      <c r="E15" s="167">
        <v>145</v>
      </c>
      <c r="F15" s="168">
        <f t="shared" si="3"/>
        <v>55</v>
      </c>
    </row>
    <row r="16" spans="1:6">
      <c r="A16" s="163">
        <v>5</v>
      </c>
      <c r="B16" s="164" t="s">
        <v>50</v>
      </c>
      <c r="C16" s="165" t="s">
        <v>50</v>
      </c>
      <c r="D16" s="166">
        <v>215</v>
      </c>
      <c r="E16" s="167"/>
      <c r="F16" s="168">
        <f t="shared" si="3"/>
        <v>215</v>
      </c>
    </row>
    <row r="17" spans="1:6">
      <c r="A17" s="163">
        <v>6</v>
      </c>
      <c r="B17" s="164" t="s">
        <v>44</v>
      </c>
      <c r="C17" s="165" t="s">
        <v>44</v>
      </c>
      <c r="D17" s="166">
        <v>200</v>
      </c>
      <c r="E17" s="167"/>
      <c r="F17" s="168">
        <f t="shared" si="3"/>
        <v>200</v>
      </c>
    </row>
    <row r="18" spans="1:6">
      <c r="A18" s="163">
        <v>7</v>
      </c>
      <c r="B18" s="164" t="s">
        <v>45</v>
      </c>
      <c r="C18" s="165" t="s">
        <v>45</v>
      </c>
      <c r="D18" s="166">
        <v>215</v>
      </c>
      <c r="E18" s="167"/>
      <c r="F18" s="168">
        <f t="shared" si="3"/>
        <v>215</v>
      </c>
    </row>
    <row r="19" spans="1:6">
      <c r="A19" s="163">
        <v>8</v>
      </c>
      <c r="B19" s="164" t="s">
        <v>46</v>
      </c>
      <c r="C19" s="165" t="s">
        <v>46</v>
      </c>
      <c r="D19" s="166">
        <v>255</v>
      </c>
      <c r="E19" s="167"/>
      <c r="F19" s="168">
        <f t="shared" si="3"/>
        <v>255</v>
      </c>
    </row>
    <row r="20" spans="1:6">
      <c r="A20" s="163">
        <v>9</v>
      </c>
      <c r="B20" s="164" t="s">
        <v>47</v>
      </c>
      <c r="C20" s="165" t="s">
        <v>47</v>
      </c>
      <c r="D20" s="166">
        <v>215</v>
      </c>
      <c r="E20" s="167"/>
      <c r="F20" s="168">
        <f t="shared" si="3"/>
        <v>215</v>
      </c>
    </row>
    <row r="21" spans="1:6">
      <c r="A21" s="163">
        <v>10</v>
      </c>
      <c r="B21" s="164" t="s">
        <v>48</v>
      </c>
      <c r="C21" s="165" t="s">
        <v>48</v>
      </c>
      <c r="D21" s="166">
        <v>200</v>
      </c>
      <c r="E21" s="167"/>
      <c r="F21" s="168">
        <f t="shared" si="3"/>
        <v>200</v>
      </c>
    </row>
    <row r="22" spans="1:6">
      <c r="A22" s="163">
        <v>11</v>
      </c>
      <c r="B22" s="164" t="s">
        <v>49</v>
      </c>
      <c r="C22" s="165" t="s">
        <v>49</v>
      </c>
      <c r="D22" s="166">
        <v>200</v>
      </c>
      <c r="E22" s="167"/>
      <c r="F22" s="168">
        <f t="shared" si="3"/>
        <v>200</v>
      </c>
    </row>
    <row r="23" spans="1:6" ht="25.5">
      <c r="A23" s="170" t="s">
        <v>12</v>
      </c>
      <c r="B23" s="171" t="s">
        <v>591</v>
      </c>
      <c r="C23" s="172"/>
      <c r="D23" s="173">
        <f>D24</f>
        <v>981</v>
      </c>
      <c r="E23" s="174" t="str">
        <f>E24</f>
        <v>0</v>
      </c>
      <c r="F23" s="175">
        <f>F24</f>
        <v>981</v>
      </c>
    </row>
    <row r="24" spans="1:6" ht="38.25">
      <c r="A24" s="176" t="s">
        <v>28</v>
      </c>
      <c r="B24" s="177" t="s">
        <v>307</v>
      </c>
      <c r="C24" s="178" t="s">
        <v>592</v>
      </c>
      <c r="D24" s="166">
        <v>981</v>
      </c>
      <c r="E24" s="169" t="s">
        <v>333</v>
      </c>
      <c r="F24" s="179">
        <f>D24-E24</f>
        <v>981</v>
      </c>
    </row>
    <row r="25" spans="1:6" ht="25.5">
      <c r="A25" s="170" t="s">
        <v>13</v>
      </c>
      <c r="B25" s="171" t="s">
        <v>308</v>
      </c>
      <c r="C25" s="172"/>
      <c r="D25" s="173">
        <f>SUM(D26:D28)</f>
        <v>2141</v>
      </c>
      <c r="E25" s="173">
        <f t="shared" ref="E25" si="4">SUM(E26:E28)</f>
        <v>696.25</v>
      </c>
      <c r="F25" s="173">
        <f>SUM(F26:F28)</f>
        <v>1444.75</v>
      </c>
    </row>
    <row r="26" spans="1:6" ht="25.5">
      <c r="A26" s="163">
        <v>1</v>
      </c>
      <c r="B26" s="180" t="s">
        <v>593</v>
      </c>
      <c r="C26" s="181" t="s">
        <v>594</v>
      </c>
      <c r="D26" s="166">
        <f>956+741</f>
        <v>1697</v>
      </c>
      <c r="E26" s="167">
        <v>691.25</v>
      </c>
      <c r="F26" s="179">
        <f>D26-E26</f>
        <v>1005.75</v>
      </c>
    </row>
    <row r="27" spans="1:6" ht="25.5">
      <c r="A27" s="182">
        <v>2</v>
      </c>
      <c r="B27" s="183" t="s">
        <v>595</v>
      </c>
      <c r="C27" s="349" t="s">
        <v>596</v>
      </c>
      <c r="D27" s="184">
        <v>259</v>
      </c>
      <c r="E27" s="167"/>
      <c r="F27" s="179">
        <f>D27-E27</f>
        <v>259</v>
      </c>
    </row>
    <row r="28" spans="1:6" ht="25.5">
      <c r="A28" s="163">
        <v>3</v>
      </c>
      <c r="B28" s="183" t="s">
        <v>597</v>
      </c>
      <c r="C28" s="350"/>
      <c r="D28" s="166">
        <v>185</v>
      </c>
      <c r="E28" s="167">
        <v>5</v>
      </c>
      <c r="F28" s="179">
        <f>D28-E28</f>
        <v>180</v>
      </c>
    </row>
    <row r="29" spans="1:6" ht="25.5">
      <c r="A29" s="170" t="s">
        <v>15</v>
      </c>
      <c r="B29" s="171" t="s">
        <v>310</v>
      </c>
      <c r="C29" s="172"/>
      <c r="D29" s="173">
        <f>SUM(D30:D32)</f>
        <v>202</v>
      </c>
      <c r="E29" s="174">
        <f>SUM(E30:E32)</f>
        <v>55.038999999999994</v>
      </c>
      <c r="F29" s="174">
        <f>SUM(F30:F32)</f>
        <v>146.96099999999998</v>
      </c>
    </row>
    <row r="30" spans="1:6">
      <c r="A30" s="182">
        <v>1</v>
      </c>
      <c r="B30" s="183" t="s">
        <v>40</v>
      </c>
      <c r="C30" s="182" t="s">
        <v>140</v>
      </c>
      <c r="D30" s="166">
        <f>88+54</f>
        <v>142</v>
      </c>
      <c r="E30" s="167">
        <v>19.649999999999999</v>
      </c>
      <c r="F30" s="179">
        <f>D30-E30</f>
        <v>122.35</v>
      </c>
    </row>
    <row r="31" spans="1:6">
      <c r="A31" s="182">
        <v>9</v>
      </c>
      <c r="B31" s="164" t="s">
        <v>46</v>
      </c>
      <c r="C31" s="165" t="s">
        <v>46</v>
      </c>
      <c r="D31" s="166">
        <f t="shared" ref="D31:D32" si="5">20+10</f>
        <v>30</v>
      </c>
      <c r="E31" s="167">
        <v>21.114000000000001</v>
      </c>
      <c r="F31" s="179">
        <f>D31-E31</f>
        <v>8.8859999999999992</v>
      </c>
    </row>
    <row r="32" spans="1:6">
      <c r="A32" s="182">
        <v>10</v>
      </c>
      <c r="B32" s="164" t="s">
        <v>47</v>
      </c>
      <c r="C32" s="165" t="s">
        <v>47</v>
      </c>
      <c r="D32" s="166">
        <f t="shared" si="5"/>
        <v>30</v>
      </c>
      <c r="E32" s="167">
        <v>14.275</v>
      </c>
      <c r="F32" s="179">
        <f>D32-E32</f>
        <v>15.725</v>
      </c>
    </row>
    <row r="33" spans="1:6" ht="25.5">
      <c r="A33" s="138" t="s">
        <v>138</v>
      </c>
      <c r="B33" s="186" t="s">
        <v>598</v>
      </c>
      <c r="C33" s="187"/>
      <c r="D33" s="188">
        <f t="shared" ref="D33:F33" si="6">D34+D35+D36+D37+D38</f>
        <v>1465</v>
      </c>
      <c r="E33" s="188">
        <f t="shared" si="6"/>
        <v>1052.383</v>
      </c>
      <c r="F33" s="188">
        <f t="shared" si="6"/>
        <v>412.61700000000002</v>
      </c>
    </row>
    <row r="34" spans="1:6">
      <c r="A34" s="189">
        <v>1</v>
      </c>
      <c r="B34" s="213" t="s">
        <v>599</v>
      </c>
      <c r="C34" s="351" t="s">
        <v>600</v>
      </c>
      <c r="D34" s="190">
        <v>400</v>
      </c>
      <c r="E34" s="191">
        <v>300</v>
      </c>
      <c r="F34" s="179">
        <f>D34-E34</f>
        <v>100</v>
      </c>
    </row>
    <row r="35" spans="1:6" ht="38.25">
      <c r="A35" s="189">
        <v>2</v>
      </c>
      <c r="B35" s="213" t="s">
        <v>601</v>
      </c>
      <c r="C35" s="352"/>
      <c r="D35" s="190">
        <v>500</v>
      </c>
      <c r="E35" s="192">
        <v>480.59699999999998</v>
      </c>
      <c r="F35" s="179">
        <f>D35-E35</f>
        <v>19.40300000000002</v>
      </c>
    </row>
    <row r="36" spans="1:6" ht="25.5">
      <c r="A36" s="195">
        <v>4</v>
      </c>
      <c r="B36" s="214" t="s">
        <v>624</v>
      </c>
      <c r="C36" s="196" t="s">
        <v>602</v>
      </c>
      <c r="D36" s="193">
        <v>100</v>
      </c>
      <c r="E36" s="192"/>
      <c r="F36" s="179">
        <f>D36-E36</f>
        <v>100</v>
      </c>
    </row>
    <row r="37" spans="1:6" ht="25.5">
      <c r="A37" s="195">
        <v>5</v>
      </c>
      <c r="B37" s="213" t="s">
        <v>603</v>
      </c>
      <c r="C37" s="196" t="s">
        <v>600</v>
      </c>
      <c r="D37" s="197">
        <v>85</v>
      </c>
      <c r="E37" s="194">
        <v>81.93</v>
      </c>
      <c r="F37" s="179">
        <f>D37-E37</f>
        <v>3.0699999999999932</v>
      </c>
    </row>
    <row r="38" spans="1:6">
      <c r="A38" s="189">
        <v>6</v>
      </c>
      <c r="B38" s="213" t="s">
        <v>604</v>
      </c>
      <c r="C38" s="133"/>
      <c r="D38" s="197">
        <f>SUM(D39:D40)</f>
        <v>380</v>
      </c>
      <c r="E38" s="198">
        <f>SUM(E39:E40)</f>
        <v>189.85599999999999</v>
      </c>
      <c r="F38" s="198">
        <f>SUM(F39:F40)</f>
        <v>190.14400000000001</v>
      </c>
    </row>
    <row r="39" spans="1:6">
      <c r="A39" s="199">
        <v>1</v>
      </c>
      <c r="B39" s="200" t="s">
        <v>61</v>
      </c>
      <c r="C39" s="201" t="s">
        <v>61</v>
      </c>
      <c r="D39" s="203">
        <f>15+175</f>
        <v>190</v>
      </c>
      <c r="E39" s="203">
        <f>15+85+89.856</f>
        <v>189.85599999999999</v>
      </c>
      <c r="F39" s="179">
        <f>D39-E39</f>
        <v>0.14400000000000546</v>
      </c>
    </row>
    <row r="40" spans="1:6">
      <c r="A40" s="199">
        <v>7</v>
      </c>
      <c r="B40" s="200" t="s">
        <v>45</v>
      </c>
      <c r="C40" s="201" t="s">
        <v>45</v>
      </c>
      <c r="D40" s="203">
        <f>15+175</f>
        <v>190</v>
      </c>
      <c r="E40" s="185"/>
      <c r="F40" s="179">
        <f>D40-E40</f>
        <v>190</v>
      </c>
    </row>
    <row r="41" spans="1:6" ht="25.5">
      <c r="A41" s="138" t="s">
        <v>144</v>
      </c>
      <c r="B41" s="186" t="s">
        <v>605</v>
      </c>
      <c r="C41" s="187"/>
      <c r="D41" s="188">
        <f>D42+D44+D68+D75+D82+D84</f>
        <v>13519.893</v>
      </c>
      <c r="E41" s="188">
        <f>E42+E44+E68+E75+E82+E84</f>
        <v>6026.3622299999997</v>
      </c>
      <c r="F41" s="188">
        <f>F42+F44+F68+F75+F82+F84</f>
        <v>7493.5307700000003</v>
      </c>
    </row>
    <row r="42" spans="1:6" ht="25.5">
      <c r="A42" s="215" t="s">
        <v>3</v>
      </c>
      <c r="B42" s="216" t="s">
        <v>606</v>
      </c>
      <c r="C42" s="217"/>
      <c r="D42" s="218">
        <f>D43</f>
        <v>1323</v>
      </c>
      <c r="E42" s="219">
        <f>E43</f>
        <v>1296.713737</v>
      </c>
      <c r="F42" s="220">
        <f t="shared" ref="F42" si="7">F43</f>
        <v>26.286262999999963</v>
      </c>
    </row>
    <row r="43" spans="1:6">
      <c r="A43" s="204" t="s">
        <v>28</v>
      </c>
      <c r="B43" s="70" t="s">
        <v>67</v>
      </c>
      <c r="C43" s="205" t="s">
        <v>67</v>
      </c>
      <c r="D43" s="71">
        <f>1323</f>
        <v>1323</v>
      </c>
      <c r="E43" s="185">
        <v>1296.713737</v>
      </c>
      <c r="F43" s="179">
        <f>D43-E43</f>
        <v>26.286262999999963</v>
      </c>
    </row>
    <row r="44" spans="1:6" ht="51">
      <c r="A44" s="215" t="s">
        <v>5</v>
      </c>
      <c r="B44" s="216" t="s">
        <v>607</v>
      </c>
      <c r="C44" s="217"/>
      <c r="D44" s="218">
        <f>D45+D56</f>
        <v>7700.1930000000002</v>
      </c>
      <c r="E44" s="221">
        <f>E45+E56</f>
        <v>3173.7238200000002</v>
      </c>
      <c r="F44" s="220">
        <f>F45+F56</f>
        <v>4526.4691800000001</v>
      </c>
    </row>
    <row r="45" spans="1:6">
      <c r="A45" s="215"/>
      <c r="B45" s="216" t="s">
        <v>321</v>
      </c>
      <c r="C45" s="217"/>
      <c r="D45" s="222">
        <f>SUM(D46:D55)</f>
        <v>3541.1930000000002</v>
      </c>
      <c r="E45" s="221">
        <f>SUM(E46:E55)</f>
        <v>3173.7238200000002</v>
      </c>
      <c r="F45" s="220">
        <f>SUM(F46:F55)</f>
        <v>367.46918000000005</v>
      </c>
    </row>
    <row r="46" spans="1:6" ht="25.5" customHeight="1">
      <c r="A46" s="69">
        <v>1</v>
      </c>
      <c r="B46" s="200" t="s">
        <v>61</v>
      </c>
      <c r="C46" s="201" t="s">
        <v>61</v>
      </c>
      <c r="D46" s="71">
        <f>327.399</f>
        <v>327.399</v>
      </c>
      <c r="E46" s="185">
        <v>321.66676000000001</v>
      </c>
      <c r="F46" s="179">
        <f>D46-E46</f>
        <v>5.7322399999999902</v>
      </c>
    </row>
    <row r="47" spans="1:6" ht="25.5" customHeight="1">
      <c r="A47" s="69">
        <v>2</v>
      </c>
      <c r="B47" s="200" t="s">
        <v>50</v>
      </c>
      <c r="C47" s="201" t="s">
        <v>50</v>
      </c>
      <c r="D47" s="71">
        <f>432.108</f>
        <v>432.108</v>
      </c>
      <c r="E47" s="185">
        <v>398.96174999999999</v>
      </c>
      <c r="F47" s="179">
        <f t="shared" ref="F47:F55" si="8">D47-E47</f>
        <v>33.146250000000009</v>
      </c>
    </row>
    <row r="48" spans="1:6">
      <c r="A48" s="69">
        <v>3</v>
      </c>
      <c r="B48" s="200" t="s">
        <v>41</v>
      </c>
      <c r="C48" s="201" t="s">
        <v>41</v>
      </c>
      <c r="D48" s="71">
        <f>365.75</f>
        <v>365.75</v>
      </c>
      <c r="E48" s="185">
        <v>322.75319999999999</v>
      </c>
      <c r="F48" s="179">
        <f t="shared" si="8"/>
        <v>42.996800000000007</v>
      </c>
    </row>
    <row r="49" spans="1:6">
      <c r="A49" s="69">
        <v>4</v>
      </c>
      <c r="B49" s="200" t="s">
        <v>62</v>
      </c>
      <c r="C49" s="201" t="s">
        <v>62</v>
      </c>
      <c r="D49" s="71">
        <f>387.277</f>
        <v>387.27699999999999</v>
      </c>
      <c r="E49" s="185">
        <v>347.49880000000002</v>
      </c>
      <c r="F49" s="179">
        <f t="shared" si="8"/>
        <v>39.77819999999997</v>
      </c>
    </row>
    <row r="50" spans="1:6" ht="25.5" customHeight="1">
      <c r="A50" s="69">
        <v>5</v>
      </c>
      <c r="B50" s="200" t="s">
        <v>51</v>
      </c>
      <c r="C50" s="201" t="s">
        <v>51</v>
      </c>
      <c r="D50" s="71">
        <f>418.418</f>
        <v>418.41800000000001</v>
      </c>
      <c r="E50" s="185">
        <v>357.47399999999999</v>
      </c>
      <c r="F50" s="179">
        <f t="shared" si="8"/>
        <v>60.944000000000017</v>
      </c>
    </row>
    <row r="51" spans="1:6">
      <c r="A51" s="69">
        <v>6</v>
      </c>
      <c r="B51" s="200" t="s">
        <v>44</v>
      </c>
      <c r="C51" s="201" t="s">
        <v>44</v>
      </c>
      <c r="D51" s="71">
        <f>271.7</f>
        <v>271.7</v>
      </c>
      <c r="E51" s="185">
        <v>265.17500000000001</v>
      </c>
      <c r="F51" s="179">
        <f t="shared" si="8"/>
        <v>6.5249999999999773</v>
      </c>
    </row>
    <row r="52" spans="1:6">
      <c r="A52" s="69">
        <v>7</v>
      </c>
      <c r="B52" s="200" t="s">
        <v>45</v>
      </c>
      <c r="C52" s="201" t="s">
        <v>45</v>
      </c>
      <c r="D52" s="71">
        <f>262.922</f>
        <v>262.92200000000003</v>
      </c>
      <c r="E52" s="185">
        <v>224.71600000000001</v>
      </c>
      <c r="F52" s="179">
        <f t="shared" si="8"/>
        <v>38.206000000000017</v>
      </c>
    </row>
    <row r="53" spans="1:6" ht="25.5" customHeight="1">
      <c r="A53" s="69">
        <v>8</v>
      </c>
      <c r="B53" s="200" t="s">
        <v>63</v>
      </c>
      <c r="C53" s="201" t="s">
        <v>63</v>
      </c>
      <c r="D53" s="71">
        <f>400.235</f>
        <v>400.23500000000001</v>
      </c>
      <c r="E53" s="185">
        <v>350.55216999999999</v>
      </c>
      <c r="F53" s="179">
        <f t="shared" si="8"/>
        <v>49.682830000000024</v>
      </c>
    </row>
    <row r="54" spans="1:6">
      <c r="A54" s="69">
        <v>9</v>
      </c>
      <c r="B54" s="200" t="s">
        <v>64</v>
      </c>
      <c r="C54" s="201" t="s">
        <v>64</v>
      </c>
      <c r="D54" s="71">
        <f>361.884</f>
        <v>361.88400000000001</v>
      </c>
      <c r="E54" s="185">
        <v>333.67613999999998</v>
      </c>
      <c r="F54" s="179">
        <f t="shared" si="8"/>
        <v>28.207860000000039</v>
      </c>
    </row>
    <row r="55" spans="1:6" ht="25.5" customHeight="1">
      <c r="A55" s="69">
        <v>11</v>
      </c>
      <c r="B55" s="200" t="s">
        <v>43</v>
      </c>
      <c r="C55" s="201" t="s">
        <v>43</v>
      </c>
      <c r="D55" s="71">
        <f>313.5</f>
        <v>313.5</v>
      </c>
      <c r="E55" s="206">
        <v>251.25</v>
      </c>
      <c r="F55" s="179">
        <f t="shared" si="8"/>
        <v>62.25</v>
      </c>
    </row>
    <row r="56" spans="1:6">
      <c r="A56" s="215"/>
      <c r="B56" s="216" t="s">
        <v>322</v>
      </c>
      <c r="C56" s="223"/>
      <c r="D56" s="222">
        <f>SUM(D57:D67)</f>
        <v>4159</v>
      </c>
      <c r="E56" s="221">
        <f t="shared" ref="E56" si="9">SUM(E57:E67)</f>
        <v>0</v>
      </c>
      <c r="F56" s="220">
        <f>SUM(F57:F67)</f>
        <v>4159</v>
      </c>
    </row>
    <row r="57" spans="1:6" ht="25.5" customHeight="1">
      <c r="A57" s="69">
        <v>1</v>
      </c>
      <c r="B57" s="200" t="s">
        <v>61</v>
      </c>
      <c r="C57" s="201" t="s">
        <v>61</v>
      </c>
      <c r="D57" s="202">
        <f>360.12</f>
        <v>360.12</v>
      </c>
      <c r="E57" s="185"/>
      <c r="F57" s="207">
        <f>D57-E57</f>
        <v>360.12</v>
      </c>
    </row>
    <row r="58" spans="1:6" ht="25.5" customHeight="1">
      <c r="A58" s="69">
        <v>2</v>
      </c>
      <c r="B58" s="200" t="s">
        <v>50</v>
      </c>
      <c r="C58" s="201" t="s">
        <v>50</v>
      </c>
      <c r="D58" s="202">
        <f>381.48</f>
        <v>381.48</v>
      </c>
      <c r="E58" s="185"/>
      <c r="F58" s="207">
        <f t="shared" ref="F58:F67" si="10">D58-E58</f>
        <v>381.48</v>
      </c>
    </row>
    <row r="59" spans="1:6">
      <c r="A59" s="69">
        <v>3</v>
      </c>
      <c r="B59" s="200" t="s">
        <v>41</v>
      </c>
      <c r="C59" s="201" t="s">
        <v>41</v>
      </c>
      <c r="D59" s="202">
        <f>363.62</f>
        <v>363.62</v>
      </c>
      <c r="E59" s="208"/>
      <c r="F59" s="207">
        <f t="shared" si="10"/>
        <v>363.62</v>
      </c>
    </row>
    <row r="60" spans="1:6">
      <c r="A60" s="69">
        <v>4</v>
      </c>
      <c r="B60" s="200" t="s">
        <v>62</v>
      </c>
      <c r="C60" s="201" t="s">
        <v>62</v>
      </c>
      <c r="D60" s="202">
        <f>356.73</f>
        <v>356.73</v>
      </c>
      <c r="E60" s="185"/>
      <c r="F60" s="207">
        <f t="shared" si="10"/>
        <v>356.73</v>
      </c>
    </row>
    <row r="61" spans="1:6" ht="25.5" customHeight="1">
      <c r="A61" s="69">
        <v>5</v>
      </c>
      <c r="B61" s="200" t="s">
        <v>51</v>
      </c>
      <c r="C61" s="201" t="s">
        <v>51</v>
      </c>
      <c r="D61" s="202">
        <f>382.82</f>
        <v>382.82</v>
      </c>
      <c r="E61" s="185"/>
      <c r="F61" s="207">
        <f t="shared" si="10"/>
        <v>382.82</v>
      </c>
    </row>
    <row r="62" spans="1:6">
      <c r="A62" s="69">
        <v>6</v>
      </c>
      <c r="B62" s="200" t="s">
        <v>44</v>
      </c>
      <c r="C62" s="201" t="s">
        <v>44</v>
      </c>
      <c r="D62" s="202">
        <f>388.92</f>
        <v>388.92</v>
      </c>
      <c r="E62" s="185"/>
      <c r="F62" s="207">
        <f t="shared" si="10"/>
        <v>388.92</v>
      </c>
    </row>
    <row r="63" spans="1:6">
      <c r="A63" s="69">
        <v>7</v>
      </c>
      <c r="B63" s="200" t="s">
        <v>45</v>
      </c>
      <c r="C63" s="201" t="s">
        <v>45</v>
      </c>
      <c r="D63" s="202">
        <f>394.54</f>
        <v>394.54</v>
      </c>
      <c r="E63" s="185"/>
      <c r="F63" s="207">
        <f t="shared" si="10"/>
        <v>394.54</v>
      </c>
    </row>
    <row r="64" spans="1:6" ht="25.5" customHeight="1">
      <c r="A64" s="69">
        <v>8</v>
      </c>
      <c r="B64" s="200" t="s">
        <v>63</v>
      </c>
      <c r="C64" s="201" t="s">
        <v>63</v>
      </c>
      <c r="D64" s="202">
        <f>379.16</f>
        <v>379.16</v>
      </c>
      <c r="E64" s="185"/>
      <c r="F64" s="207">
        <f>D64-E64</f>
        <v>379.16</v>
      </c>
    </row>
    <row r="65" spans="1:6">
      <c r="A65" s="69">
        <v>9</v>
      </c>
      <c r="B65" s="200" t="s">
        <v>64</v>
      </c>
      <c r="C65" s="201" t="s">
        <v>64</v>
      </c>
      <c r="D65" s="202">
        <f>386.54</f>
        <v>386.54</v>
      </c>
      <c r="E65" s="185"/>
      <c r="F65" s="207">
        <f>D65-E65</f>
        <v>386.54</v>
      </c>
    </row>
    <row r="66" spans="1:6">
      <c r="A66" s="69">
        <v>10</v>
      </c>
      <c r="B66" s="200" t="s">
        <v>65</v>
      </c>
      <c r="C66" s="201" t="s">
        <v>65</v>
      </c>
      <c r="D66" s="202">
        <f>381.45</f>
        <v>381.45</v>
      </c>
      <c r="E66" s="185"/>
      <c r="F66" s="207">
        <f t="shared" si="10"/>
        <v>381.45</v>
      </c>
    </row>
    <row r="67" spans="1:6" ht="25.5" customHeight="1">
      <c r="A67" s="69">
        <v>11</v>
      </c>
      <c r="B67" s="200" t="s">
        <v>43</v>
      </c>
      <c r="C67" s="201" t="s">
        <v>43</v>
      </c>
      <c r="D67" s="202">
        <f>383.62</f>
        <v>383.62</v>
      </c>
      <c r="E67" s="208" t="s">
        <v>333</v>
      </c>
      <c r="F67" s="207">
        <f t="shared" si="10"/>
        <v>383.62</v>
      </c>
    </row>
    <row r="68" spans="1:6" ht="51">
      <c r="A68" s="215" t="s">
        <v>12</v>
      </c>
      <c r="B68" s="216" t="s">
        <v>608</v>
      </c>
      <c r="C68" s="217"/>
      <c r="D68" s="222">
        <f>SUM(D70:D74)</f>
        <v>548.69999999999993</v>
      </c>
      <c r="E68" s="221">
        <f>SUM(E70:E74)</f>
        <v>430.05467299999998</v>
      </c>
      <c r="F68" s="220">
        <f>SUM(F70:F74)</f>
        <v>118.64532700000001</v>
      </c>
    </row>
    <row r="69" spans="1:6">
      <c r="A69" s="215"/>
      <c r="B69" s="216" t="s">
        <v>321</v>
      </c>
      <c r="C69" s="217"/>
      <c r="D69" s="218"/>
      <c r="E69" s="185"/>
      <c r="F69" s="207"/>
    </row>
    <row r="70" spans="1:6">
      <c r="A70" s="69">
        <v>1</v>
      </c>
      <c r="B70" s="200" t="s">
        <v>61</v>
      </c>
      <c r="C70" s="201" t="s">
        <v>61</v>
      </c>
      <c r="D70" s="202">
        <f>105.3</f>
        <v>105.3</v>
      </c>
      <c r="E70" s="185">
        <v>105</v>
      </c>
      <c r="F70" s="207">
        <f>D70-E70</f>
        <v>0.29999999999999716</v>
      </c>
    </row>
    <row r="71" spans="1:6">
      <c r="A71" s="69">
        <v>3</v>
      </c>
      <c r="B71" s="200" t="s">
        <v>41</v>
      </c>
      <c r="C71" s="201" t="s">
        <v>41</v>
      </c>
      <c r="D71" s="202">
        <f>105.9</f>
        <v>105.9</v>
      </c>
      <c r="E71" s="208">
        <v>105.782673</v>
      </c>
      <c r="F71" s="207">
        <f>D71-E71</f>
        <v>0.11732700000000307</v>
      </c>
    </row>
    <row r="72" spans="1:6">
      <c r="A72" s="69">
        <v>7</v>
      </c>
      <c r="B72" s="200" t="s">
        <v>45</v>
      </c>
      <c r="C72" s="201" t="s">
        <v>45</v>
      </c>
      <c r="D72" s="202">
        <f>118.2</f>
        <v>118.2</v>
      </c>
      <c r="E72" s="185"/>
      <c r="F72" s="207">
        <f>D72-E72</f>
        <v>118.2</v>
      </c>
    </row>
    <row r="73" spans="1:6">
      <c r="A73" s="69">
        <v>8</v>
      </c>
      <c r="B73" s="200" t="s">
        <v>63</v>
      </c>
      <c r="C73" s="201" t="s">
        <v>63</v>
      </c>
      <c r="D73" s="202">
        <f>108.9</f>
        <v>108.9</v>
      </c>
      <c r="E73" s="185">
        <v>108.873</v>
      </c>
      <c r="F73" s="207">
        <f>D73-E73</f>
        <v>2.7000000000001023E-2</v>
      </c>
    </row>
    <row r="74" spans="1:6">
      <c r="A74" s="69">
        <v>9</v>
      </c>
      <c r="B74" s="200" t="s">
        <v>64</v>
      </c>
      <c r="C74" s="201" t="s">
        <v>64</v>
      </c>
      <c r="D74" s="202">
        <f>110.4</f>
        <v>110.4</v>
      </c>
      <c r="E74" s="202">
        <f>110.399</f>
        <v>110.399</v>
      </c>
      <c r="F74" s="207">
        <f>D74-E74</f>
        <v>1.0000000000047748E-3</v>
      </c>
    </row>
    <row r="75" spans="1:6" ht="25.5">
      <c r="A75" s="215" t="s">
        <v>13</v>
      </c>
      <c r="B75" s="216" t="s">
        <v>609</v>
      </c>
      <c r="C75" s="217"/>
      <c r="D75" s="222">
        <f>SUM(D76:D81)</f>
        <v>3193</v>
      </c>
      <c r="E75" s="221">
        <f>SUM(E76:E81)</f>
        <v>674.83899999999994</v>
      </c>
      <c r="F75" s="220">
        <f>SUM(F76:F81)</f>
        <v>2518.1610000000001</v>
      </c>
    </row>
    <row r="76" spans="1:6" ht="25.5">
      <c r="A76" s="209">
        <v>1</v>
      </c>
      <c r="B76" s="70" t="s">
        <v>610</v>
      </c>
      <c r="C76" s="205" t="s">
        <v>611</v>
      </c>
      <c r="D76" s="131">
        <v>367.5</v>
      </c>
      <c r="E76" s="224">
        <v>234.67500000000001</v>
      </c>
      <c r="F76" s="207">
        <f t="shared" ref="F76:F81" si="11">D76-E76</f>
        <v>132.82499999999999</v>
      </c>
    </row>
    <row r="77" spans="1:6" ht="25.5">
      <c r="A77" s="69">
        <v>2</v>
      </c>
      <c r="B77" s="70" t="s">
        <v>612</v>
      </c>
      <c r="C77" s="205" t="s">
        <v>140</v>
      </c>
      <c r="D77" s="131">
        <f>300+336.4</f>
        <v>636.4</v>
      </c>
      <c r="E77" s="185">
        <f>150+290.164</f>
        <v>440.16399999999999</v>
      </c>
      <c r="F77" s="207">
        <f t="shared" si="11"/>
        <v>196.23599999999999</v>
      </c>
    </row>
    <row r="78" spans="1:6">
      <c r="A78" s="209">
        <v>3</v>
      </c>
      <c r="B78" s="70" t="s">
        <v>613</v>
      </c>
      <c r="C78" s="205" t="s">
        <v>67</v>
      </c>
      <c r="D78" s="202">
        <f>186</f>
        <v>186</v>
      </c>
      <c r="E78" s="185"/>
      <c r="F78" s="207">
        <f t="shared" si="11"/>
        <v>186</v>
      </c>
    </row>
    <row r="79" spans="1:6">
      <c r="A79" s="209">
        <v>3</v>
      </c>
      <c r="B79" s="70" t="s">
        <v>614</v>
      </c>
      <c r="C79" s="205" t="s">
        <v>67</v>
      </c>
      <c r="D79" s="202">
        <f>187</f>
        <v>187</v>
      </c>
      <c r="E79" s="185"/>
      <c r="F79" s="207">
        <f t="shared" si="11"/>
        <v>187</v>
      </c>
    </row>
    <row r="80" spans="1:6" ht="25.5">
      <c r="A80" s="69">
        <v>4</v>
      </c>
      <c r="B80" s="70" t="s">
        <v>615</v>
      </c>
      <c r="C80" s="205" t="s">
        <v>616</v>
      </c>
      <c r="D80" s="202">
        <v>153</v>
      </c>
      <c r="E80" s="185"/>
      <c r="F80" s="207">
        <f t="shared" si="11"/>
        <v>153</v>
      </c>
    </row>
    <row r="81" spans="1:6" ht="38.25">
      <c r="A81" s="209">
        <v>5</v>
      </c>
      <c r="B81" s="210" t="s">
        <v>617</v>
      </c>
      <c r="C81" s="211" t="s">
        <v>39</v>
      </c>
      <c r="D81" s="131">
        <v>1663.1</v>
      </c>
      <c r="E81" s="185"/>
      <c r="F81" s="207">
        <f t="shared" si="11"/>
        <v>1663.1</v>
      </c>
    </row>
    <row r="82" spans="1:6" ht="38.25">
      <c r="A82" s="215" t="s">
        <v>14</v>
      </c>
      <c r="B82" s="216" t="s">
        <v>619</v>
      </c>
      <c r="C82" s="217"/>
      <c r="D82" s="218">
        <f>D83</f>
        <v>465</v>
      </c>
      <c r="E82" s="221">
        <f>E83</f>
        <v>403.47899999999998</v>
      </c>
      <c r="F82" s="220">
        <f>F83</f>
        <v>61.521000000000015</v>
      </c>
    </row>
    <row r="83" spans="1:6" ht="25.5">
      <c r="A83" s="204" t="s">
        <v>28</v>
      </c>
      <c r="B83" s="70" t="s">
        <v>68</v>
      </c>
      <c r="C83" s="205" t="s">
        <v>68</v>
      </c>
      <c r="D83" s="202">
        <v>465</v>
      </c>
      <c r="E83" s="185">
        <v>403.47899999999998</v>
      </c>
      <c r="F83" s="207">
        <f>D83-E83</f>
        <v>61.521000000000015</v>
      </c>
    </row>
    <row r="84" spans="1:6" ht="51">
      <c r="A84" s="215" t="s">
        <v>319</v>
      </c>
      <c r="B84" s="216" t="s">
        <v>620</v>
      </c>
      <c r="C84" s="217"/>
      <c r="D84" s="218">
        <f>SUM(D85:D87)</f>
        <v>290</v>
      </c>
      <c r="E84" s="221">
        <f>SUM(E85:E87)</f>
        <v>47.552</v>
      </c>
      <c r="F84" s="220">
        <f>SUM(F85:F87)</f>
        <v>242.44799999999998</v>
      </c>
    </row>
    <row r="85" spans="1:6">
      <c r="A85" s="69">
        <v>1</v>
      </c>
      <c r="B85" s="70" t="s">
        <v>621</v>
      </c>
      <c r="C85" s="347" t="s">
        <v>67</v>
      </c>
      <c r="D85" s="202">
        <v>179</v>
      </c>
      <c r="E85" s="185">
        <v>30.4</v>
      </c>
      <c r="F85" s="207">
        <f>D85-E85</f>
        <v>148.6</v>
      </c>
    </row>
    <row r="86" spans="1:6">
      <c r="A86" s="69">
        <v>2</v>
      </c>
      <c r="B86" s="70" t="s">
        <v>622</v>
      </c>
      <c r="C86" s="348"/>
      <c r="D86" s="202">
        <v>69</v>
      </c>
      <c r="E86" s="185">
        <v>17.152000000000001</v>
      </c>
      <c r="F86" s="207">
        <f>D86-E86</f>
        <v>51.847999999999999</v>
      </c>
    </row>
    <row r="87" spans="1:6" ht="38.25" customHeight="1">
      <c r="A87" s="69">
        <v>3</v>
      </c>
      <c r="B87" s="212" t="s">
        <v>623</v>
      </c>
      <c r="C87" s="196" t="s">
        <v>618</v>
      </c>
      <c r="D87" s="202">
        <f>42</f>
        <v>42</v>
      </c>
      <c r="E87" s="208" t="s">
        <v>333</v>
      </c>
      <c r="F87" s="207">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PL II 2022</vt:lpstr>
      <vt:lpstr>B3 đầu tư</vt:lpstr>
      <vt:lpstr>B4 SN</vt:lpstr>
      <vt:lpstr>Sheet1</vt:lpstr>
      <vt:lpstr>sn</vt:lpstr>
      <vt:lpstr>'B3 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Administrator</cp:lastModifiedBy>
  <cp:lastPrinted>2023-06-15T09:30:47Z</cp:lastPrinted>
  <dcterms:created xsi:type="dcterms:W3CDTF">2019-07-30T07:31:23Z</dcterms:created>
  <dcterms:modified xsi:type="dcterms:W3CDTF">2023-06-22T01:54:43Z</dcterms:modified>
</cp:coreProperties>
</file>