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updateLinks="never" codeName="ThisWorkbook" defaultThemeVersion="124226"/>
  <bookViews>
    <workbookView xWindow="-60" yWindow="-60" windowWidth="15480" windowHeight="11025" firstSheet="1" activeTab="1"/>
  </bookViews>
  <sheets>
    <sheet name="foxz" sheetId="2" state="veryHidden" r:id="rId1"/>
    <sheet name="Báo cáo GN 2023" sheetId="1" r:id="rId2"/>
    <sheet name="Sheet1" sheetId="3" r:id="rId3"/>
  </sheets>
  <definedNames>
    <definedName name="_xlnm.Print_Area" localSheetId="1">'Báo cáo GN 2023'!$A$1:$GV$130</definedName>
    <definedName name="_xlnm.Print_Titles" localSheetId="1">'Báo cáo GN 2023'!$6:$9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0" i="1" l="1"/>
  <c r="Q52" i="1"/>
  <c r="Q40" i="1"/>
  <c r="J52" i="1"/>
  <c r="Q80" i="1"/>
  <c r="I80" i="1"/>
  <c r="J54" i="1" l="1"/>
  <c r="I61" i="1"/>
  <c r="O11" i="1" l="1"/>
  <c r="I47" i="1" l="1"/>
  <c r="I45" i="1" l="1"/>
  <c r="Q24" i="1" l="1"/>
  <c r="Q17" i="1" l="1"/>
  <c r="I32" i="1"/>
  <c r="H32" i="1" s="1"/>
  <c r="J17" i="1" l="1"/>
  <c r="J24" i="1"/>
  <c r="I63" i="1"/>
  <c r="H63" i="1" s="1"/>
  <c r="I57" i="1"/>
  <c r="H57" i="1" s="1"/>
  <c r="I56" i="1"/>
  <c r="H52" i="1"/>
  <c r="I53" i="1"/>
  <c r="H53" i="1" s="1"/>
  <c r="G40" i="1"/>
  <c r="J56" i="1"/>
  <c r="H56" i="1" l="1"/>
  <c r="O14" i="1"/>
  <c r="J13" i="1"/>
  <c r="I13" i="1"/>
  <c r="I12" i="1" s="1"/>
  <c r="J12" i="1"/>
  <c r="I35" i="1"/>
  <c r="H62" i="1"/>
  <c r="H55" i="1"/>
  <c r="H54" i="1"/>
  <c r="H49" i="1"/>
  <c r="H48" i="1"/>
  <c r="H42" i="1"/>
  <c r="H19" i="1"/>
  <c r="H18" i="1"/>
  <c r="I44" i="1"/>
  <c r="H80" i="1"/>
  <c r="H13" i="1" l="1"/>
  <c r="H12" i="1" s="1"/>
  <c r="H44" i="1"/>
  <c r="D80" i="1"/>
  <c r="L80" i="1" s="1"/>
  <c r="I77" i="1"/>
  <c r="H77" i="1" s="1"/>
  <c r="J77" i="1"/>
  <c r="I73" i="1"/>
  <c r="J73" i="1"/>
  <c r="J58" i="1"/>
  <c r="K80" i="1" l="1"/>
  <c r="J47" i="1"/>
  <c r="H47" i="1" s="1"/>
  <c r="I46" i="1"/>
  <c r="J46" i="1"/>
  <c r="H46" i="1" l="1"/>
  <c r="J40" i="1"/>
  <c r="H51" i="1"/>
  <c r="H50" i="1"/>
  <c r="H83" i="1"/>
  <c r="H82" i="1"/>
  <c r="H81" i="1"/>
  <c r="H79" i="1"/>
  <c r="H78" i="1"/>
  <c r="H73" i="1"/>
  <c r="I84" i="1"/>
  <c r="H84" i="1" s="1"/>
  <c r="G84" i="1"/>
  <c r="D84" i="1" s="1"/>
  <c r="K84" i="1" s="1"/>
  <c r="P80" i="1"/>
  <c r="I69" i="1"/>
  <c r="H66" i="1"/>
  <c r="H67" i="1"/>
  <c r="H68" i="1"/>
  <c r="H69" i="1"/>
  <c r="L69" i="1" s="1"/>
  <c r="D69" i="1"/>
  <c r="I60" i="1"/>
  <c r="H60" i="1" s="1"/>
  <c r="I41" i="1"/>
  <c r="I34" i="1"/>
  <c r="I33" i="1"/>
  <c r="H41" i="1" l="1"/>
  <c r="K69" i="1"/>
  <c r="D13" i="1"/>
  <c r="I76" i="1"/>
  <c r="H76" i="1" s="1"/>
  <c r="I15" i="1"/>
  <c r="Q12" i="1"/>
  <c r="D12" i="1"/>
  <c r="D15" i="1"/>
  <c r="D14" i="1" s="1"/>
  <c r="P14" i="1" s="1"/>
  <c r="D18" i="1"/>
  <c r="D19" i="1"/>
  <c r="D20" i="1"/>
  <c r="P20" i="1" s="1"/>
  <c r="G21" i="1"/>
  <c r="D21" i="1" s="1"/>
  <c r="D22" i="1"/>
  <c r="D23" i="1"/>
  <c r="N23" i="1" s="1"/>
  <c r="D25" i="1"/>
  <c r="D26" i="1"/>
  <c r="D27" i="1"/>
  <c r="D28" i="1"/>
  <c r="D29" i="1"/>
  <c r="D30" i="1"/>
  <c r="P30" i="1" s="1"/>
  <c r="D31" i="1"/>
  <c r="D32" i="1"/>
  <c r="N32" i="1" s="1"/>
  <c r="D33" i="1"/>
  <c r="D34" i="1"/>
  <c r="D36" i="1"/>
  <c r="D37" i="1"/>
  <c r="D35" i="1" s="1"/>
  <c r="L35" i="1" s="1"/>
  <c r="D39" i="1"/>
  <c r="D38" i="1" s="1"/>
  <c r="D41" i="1"/>
  <c r="D42" i="1"/>
  <c r="L42" i="1" s="1"/>
  <c r="D43" i="1"/>
  <c r="D44" i="1"/>
  <c r="K44" i="1" s="1"/>
  <c r="D45" i="1"/>
  <c r="D46" i="1"/>
  <c r="D47" i="1"/>
  <c r="D48" i="1"/>
  <c r="D49" i="1"/>
  <c r="L49" i="1" s="1"/>
  <c r="D50" i="1"/>
  <c r="K50" i="1" s="1"/>
  <c r="D51" i="1"/>
  <c r="L51" i="1" s="1"/>
  <c r="D52" i="1"/>
  <c r="D53" i="1"/>
  <c r="D54" i="1"/>
  <c r="L54" i="1" s="1"/>
  <c r="D55" i="1"/>
  <c r="L55" i="1" s="1"/>
  <c r="D56" i="1"/>
  <c r="D57" i="1"/>
  <c r="D58" i="1"/>
  <c r="O58" i="1" s="1"/>
  <c r="P58" i="1" s="1"/>
  <c r="D59" i="1"/>
  <c r="D60" i="1"/>
  <c r="O60" i="1" s="1"/>
  <c r="P60" i="1" s="1"/>
  <c r="D61" i="1"/>
  <c r="D62" i="1"/>
  <c r="K62" i="1" s="1"/>
  <c r="D63" i="1"/>
  <c r="D64" i="1"/>
  <c r="D65" i="1"/>
  <c r="D66" i="1"/>
  <c r="K66" i="1" s="1"/>
  <c r="D67" i="1"/>
  <c r="K67" i="1" s="1"/>
  <c r="D68" i="1"/>
  <c r="K68" i="1" s="1"/>
  <c r="F75" i="1"/>
  <c r="F77" i="1"/>
  <c r="D77" i="1" s="1"/>
  <c r="G71" i="1"/>
  <c r="D71" i="1" s="1"/>
  <c r="G72" i="1"/>
  <c r="G75" i="1"/>
  <c r="G76" i="1"/>
  <c r="D76" i="1" s="1"/>
  <c r="G78" i="1"/>
  <c r="G79" i="1"/>
  <c r="G81" i="1"/>
  <c r="G82" i="1"/>
  <c r="D82" i="1" s="1"/>
  <c r="G83" i="1"/>
  <c r="F24" i="1"/>
  <c r="F17" i="1" s="1"/>
  <c r="F35" i="1"/>
  <c r="F38" i="1"/>
  <c r="F40" i="1"/>
  <c r="G24" i="1"/>
  <c r="G17" i="1"/>
  <c r="H20" i="1"/>
  <c r="M20" i="1" s="1"/>
  <c r="N20" i="1" s="1"/>
  <c r="H21" i="1"/>
  <c r="H22" i="1"/>
  <c r="L22" i="1" s="1"/>
  <c r="H23" i="1"/>
  <c r="L23" i="1" s="1"/>
  <c r="H25" i="1"/>
  <c r="H26" i="1"/>
  <c r="M26" i="1" s="1"/>
  <c r="H27" i="1"/>
  <c r="H28" i="1"/>
  <c r="H29" i="1"/>
  <c r="L29" i="1" s="1"/>
  <c r="H30" i="1"/>
  <c r="L30" i="1" s="1"/>
  <c r="I31" i="1"/>
  <c r="I24" i="1" s="1"/>
  <c r="I17" i="1" s="1"/>
  <c r="H31" i="1"/>
  <c r="L31" i="1" s="1"/>
  <c r="H33" i="1"/>
  <c r="H34" i="1"/>
  <c r="K22" i="1"/>
  <c r="K25" i="1"/>
  <c r="K26" i="1"/>
  <c r="K27" i="1"/>
  <c r="K31" i="1"/>
  <c r="O41" i="1"/>
  <c r="P41" i="1" s="1"/>
  <c r="O44" i="1"/>
  <c r="P44" i="1" s="1"/>
  <c r="M45" i="1"/>
  <c r="H45" i="1"/>
  <c r="L45" i="1" s="1"/>
  <c r="O59" i="1"/>
  <c r="P59" i="1" s="1"/>
  <c r="O61" i="1"/>
  <c r="I43" i="1"/>
  <c r="H43" i="1" s="1"/>
  <c r="I58" i="1"/>
  <c r="H58" i="1" s="1"/>
  <c r="I59" i="1"/>
  <c r="H59" i="1" s="1"/>
  <c r="H61" i="1"/>
  <c r="L61" i="1" s="1"/>
  <c r="I64" i="1"/>
  <c r="I65" i="1"/>
  <c r="H65" i="1" s="1"/>
  <c r="N46" i="1"/>
  <c r="N47" i="1"/>
  <c r="P49" i="1"/>
  <c r="N51" i="1"/>
  <c r="P55" i="1"/>
  <c r="N65" i="1"/>
  <c r="D81" i="1"/>
  <c r="K81" i="1" s="1"/>
  <c r="I71" i="1"/>
  <c r="I72" i="1"/>
  <c r="H72" i="1" s="1"/>
  <c r="I74" i="1"/>
  <c r="J74" i="1"/>
  <c r="J70" i="1" s="1"/>
  <c r="I75" i="1"/>
  <c r="H75" i="1" s="1"/>
  <c r="D72" i="1"/>
  <c r="K72" i="1" s="1"/>
  <c r="D73" i="1"/>
  <c r="K73" i="1" s="1"/>
  <c r="D74" i="1"/>
  <c r="P74" i="1" s="1"/>
  <c r="D75" i="1"/>
  <c r="K75" i="1" s="1"/>
  <c r="D78" i="1"/>
  <c r="K78" i="1" s="1"/>
  <c r="D79" i="1"/>
  <c r="K79" i="1" s="1"/>
  <c r="D83" i="1"/>
  <c r="K83" i="1" s="1"/>
  <c r="O84" i="1"/>
  <c r="P84" i="1"/>
  <c r="E24" i="1"/>
  <c r="F12" i="1"/>
  <c r="F14" i="1"/>
  <c r="P54" i="1"/>
  <c r="N53" i="1"/>
  <c r="N49" i="1"/>
  <c r="M44" i="1"/>
  <c r="N44" i="1" s="1"/>
  <c r="M84" i="1"/>
  <c r="M63" i="1"/>
  <c r="N63" i="1" s="1"/>
  <c r="Q38" i="1"/>
  <c r="Q16" i="1" s="1"/>
  <c r="Q10" i="1" s="1"/>
  <c r="M18" i="1"/>
  <c r="N18" i="1" s="1"/>
  <c r="M69" i="1"/>
  <c r="N69" i="1" s="1"/>
  <c r="M14" i="1"/>
  <c r="G14" i="1"/>
  <c r="J14" i="1"/>
  <c r="J11" i="1" s="1"/>
  <c r="Q14" i="1"/>
  <c r="Q11" i="1"/>
  <c r="M75" i="1"/>
  <c r="M12" i="1"/>
  <c r="M11" i="1" s="1"/>
  <c r="O12" i="1"/>
  <c r="O18" i="1"/>
  <c r="P18" i="1" s="1"/>
  <c r="M41" i="1"/>
  <c r="O74" i="1"/>
  <c r="M38" i="1"/>
  <c r="N39" i="1"/>
  <c r="C38" i="1"/>
  <c r="H64" i="1"/>
  <c r="L64" i="1" s="1"/>
  <c r="M22" i="1"/>
  <c r="N33" i="1"/>
  <c r="M30" i="1"/>
  <c r="P15" i="1"/>
  <c r="C14" i="1"/>
  <c r="O77" i="1"/>
  <c r="O76" i="1"/>
  <c r="M73" i="1"/>
  <c r="M42" i="1"/>
  <c r="G38" i="1"/>
  <c r="H38" i="1"/>
  <c r="I38" i="1"/>
  <c r="J38" i="1"/>
  <c r="G35" i="1"/>
  <c r="J35" i="1"/>
  <c r="M19" i="1"/>
  <c r="N19" i="1" s="1"/>
  <c r="H37" i="1"/>
  <c r="M37" i="1" s="1"/>
  <c r="H36" i="1"/>
  <c r="H35" i="1" s="1"/>
  <c r="M29" i="1"/>
  <c r="N29" i="1" s="1"/>
  <c r="T83" i="1"/>
  <c r="M80" i="1"/>
  <c r="N80" i="1" s="1"/>
  <c r="M67" i="1"/>
  <c r="M60" i="1"/>
  <c r="N60" i="1" s="1"/>
  <c r="M27" i="1"/>
  <c r="O27" i="1"/>
  <c r="P27" i="1" s="1"/>
  <c r="N25" i="1"/>
  <c r="P42" i="1"/>
  <c r="K93" i="1"/>
  <c r="K97" i="1"/>
  <c r="K90" i="1"/>
  <c r="K89" i="1" s="1"/>
  <c r="K94" i="1"/>
  <c r="K95" i="1"/>
  <c r="K98" i="1"/>
  <c r="K99" i="1"/>
  <c r="K100" i="1"/>
  <c r="K103" i="1"/>
  <c r="I89" i="1"/>
  <c r="J89" i="1"/>
  <c r="G89" i="1"/>
  <c r="J87" i="1"/>
  <c r="G87" i="1"/>
  <c r="M87" i="1" s="1"/>
  <c r="N87" i="1" s="1"/>
  <c r="H95" i="1"/>
  <c r="D91" i="1"/>
  <c r="L91" i="1" s="1"/>
  <c r="D92" i="1"/>
  <c r="L92" i="1" s="1"/>
  <c r="D93" i="1"/>
  <c r="L93" i="1" s="1"/>
  <c r="D94" i="1"/>
  <c r="L94" i="1"/>
  <c r="D95" i="1"/>
  <c r="L95" i="1" s="1"/>
  <c r="D96" i="1"/>
  <c r="L96" i="1" s="1"/>
  <c r="D97" i="1"/>
  <c r="L97" i="1" s="1"/>
  <c r="D98" i="1"/>
  <c r="L98" i="1"/>
  <c r="D99" i="1"/>
  <c r="L99" i="1" s="1"/>
  <c r="D100" i="1"/>
  <c r="L100" i="1" s="1"/>
  <c r="D101" i="1"/>
  <c r="L101" i="1" s="1"/>
  <c r="D102" i="1"/>
  <c r="L102" i="1"/>
  <c r="D103" i="1"/>
  <c r="L103" i="1" s="1"/>
  <c r="D90" i="1"/>
  <c r="L90" i="1" s="1"/>
  <c r="F87" i="1"/>
  <c r="D87" i="1" s="1"/>
  <c r="F89" i="1"/>
  <c r="H103" i="1"/>
  <c r="H102" i="1"/>
  <c r="H101" i="1"/>
  <c r="H100" i="1"/>
  <c r="H99" i="1"/>
  <c r="H98" i="1"/>
  <c r="H97" i="1"/>
  <c r="H96" i="1"/>
  <c r="H94" i="1"/>
  <c r="H89" i="1" s="1"/>
  <c r="H93" i="1"/>
  <c r="H92" i="1"/>
  <c r="H91" i="1"/>
  <c r="P66" i="1"/>
  <c r="P64" i="1"/>
  <c r="N50" i="1"/>
  <c r="N56" i="1"/>
  <c r="N58" i="1"/>
  <c r="L36" i="1"/>
  <c r="K37" i="1"/>
  <c r="P73" i="1"/>
  <c r="G12" i="1"/>
  <c r="G11" i="1" s="1"/>
  <c r="H90" i="1"/>
  <c r="K102" i="1"/>
  <c r="K91" i="1"/>
  <c r="K96" i="1"/>
  <c r="K92" i="1"/>
  <c r="K101" i="1"/>
  <c r="N59" i="1"/>
  <c r="C33" i="1"/>
  <c r="M36" i="1"/>
  <c r="N36" i="1" s="1"/>
  <c r="O35" i="1"/>
  <c r="P35" i="1" s="1"/>
  <c r="O33" i="1"/>
  <c r="P33" i="1" s="1"/>
  <c r="M64" i="1"/>
  <c r="N64" i="1" s="1"/>
  <c r="N41" i="1"/>
  <c r="N62" i="1"/>
  <c r="O31" i="1"/>
  <c r="P31" i="1" s="1"/>
  <c r="N31" i="1"/>
  <c r="P12" i="1"/>
  <c r="N13" i="1"/>
  <c r="P69" i="1"/>
  <c r="L44" i="1"/>
  <c r="N42" i="1"/>
  <c r="L26" i="1"/>
  <c r="L25" i="1"/>
  <c r="N48" i="1"/>
  <c r="P28" i="1"/>
  <c r="P50" i="1"/>
  <c r="N68" i="1"/>
  <c r="N15" i="1"/>
  <c r="N30" i="1"/>
  <c r="L84" i="1"/>
  <c r="N12" i="1"/>
  <c r="N78" i="1"/>
  <c r="G86" i="1"/>
  <c r="G85" i="1" s="1"/>
  <c r="M85" i="1" s="1"/>
  <c r="N85" i="1" s="1"/>
  <c r="P67" i="1"/>
  <c r="P48" i="1"/>
  <c r="K42" i="1"/>
  <c r="M43" i="1"/>
  <c r="N43" i="1" s="1"/>
  <c r="N22" i="1"/>
  <c r="K39" i="1"/>
  <c r="O39" i="1" s="1"/>
  <c r="P29" i="1"/>
  <c r="N61" i="1"/>
  <c r="L27" i="1"/>
  <c r="L62" i="1"/>
  <c r="N72" i="1"/>
  <c r="N83" i="1"/>
  <c r="P79" i="1"/>
  <c r="L65" i="1"/>
  <c r="K65" i="1"/>
  <c r="L43" i="1"/>
  <c r="N27" i="1"/>
  <c r="K51" i="1"/>
  <c r="N45" i="1"/>
  <c r="P26" i="1"/>
  <c r="M86" i="1"/>
  <c r="N86" i="1" s="1"/>
  <c r="N67" i="1"/>
  <c r="N55" i="1"/>
  <c r="L66" i="1"/>
  <c r="P65" i="1"/>
  <c r="N73" i="1"/>
  <c r="L73" i="1"/>
  <c r="D89" i="1"/>
  <c r="L89" i="1" s="1"/>
  <c r="L75" i="1"/>
  <c r="L39" i="1"/>
  <c r="P51" i="1"/>
  <c r="P61" i="1"/>
  <c r="K43" i="1"/>
  <c r="P43" i="1"/>
  <c r="P72" i="1"/>
  <c r="N79" i="1"/>
  <c r="O34" i="1"/>
  <c r="P34" i="1" s="1"/>
  <c r="L34" i="1"/>
  <c r="N34" i="1"/>
  <c r="C34" i="1"/>
  <c r="L28" i="1"/>
  <c r="L37" i="1"/>
  <c r="L60" i="1"/>
  <c r="K60" i="1"/>
  <c r="N75" i="1"/>
  <c r="L58" i="1"/>
  <c r="K58" i="1"/>
  <c r="K49" i="1"/>
  <c r="L33" i="1"/>
  <c r="P23" i="1"/>
  <c r="N57" i="1"/>
  <c r="C32" i="1"/>
  <c r="N52" i="1"/>
  <c r="K55" i="1"/>
  <c r="N54" i="1"/>
  <c r="K41" i="1"/>
  <c r="K59" i="1"/>
  <c r="L59" i="1"/>
  <c r="L72" i="1"/>
  <c r="K61" i="1" l="1"/>
  <c r="H87" i="1"/>
  <c r="H86" i="1" s="1"/>
  <c r="H85" i="1" s="1"/>
  <c r="O85" i="1" s="1"/>
  <c r="P85" i="1" s="1"/>
  <c r="L21" i="1"/>
  <c r="N21" i="1"/>
  <c r="K21" i="1"/>
  <c r="P21" i="1"/>
  <c r="N14" i="1"/>
  <c r="M24" i="1"/>
  <c r="M17" i="1" s="1"/>
  <c r="N26" i="1"/>
  <c r="P71" i="1"/>
  <c r="N71" i="1"/>
  <c r="M35" i="1"/>
  <c r="N35" i="1" s="1"/>
  <c r="N37" i="1"/>
  <c r="K82" i="1"/>
  <c r="N82" i="1"/>
  <c r="P82" i="1"/>
  <c r="K76" i="1"/>
  <c r="N76" i="1"/>
  <c r="L76" i="1"/>
  <c r="P76" i="1"/>
  <c r="N77" i="1"/>
  <c r="P77" i="1"/>
  <c r="I87" i="1"/>
  <c r="I86" i="1" s="1"/>
  <c r="I85" i="1" s="1"/>
  <c r="F86" i="1"/>
  <c r="F85" i="1" s="1"/>
  <c r="N81" i="1"/>
  <c r="P83" i="1"/>
  <c r="O75" i="1"/>
  <c r="K64" i="1"/>
  <c r="N74" i="1"/>
  <c r="J16" i="1"/>
  <c r="J10" i="1" s="1"/>
  <c r="H74" i="1"/>
  <c r="L67" i="1"/>
  <c r="L50" i="1"/>
  <c r="O45" i="1"/>
  <c r="P45" i="1" s="1"/>
  <c r="G70" i="1"/>
  <c r="G16" i="1" s="1"/>
  <c r="G10" i="1" s="1"/>
  <c r="F70" i="1"/>
  <c r="D70" i="1" s="1"/>
  <c r="D11" i="1"/>
  <c r="C4" i="3" s="1"/>
  <c r="J86" i="1"/>
  <c r="J85" i="1" s="1"/>
  <c r="K54" i="1"/>
  <c r="P81" i="1"/>
  <c r="N66" i="1"/>
  <c r="P78" i="1"/>
  <c r="F11" i="1"/>
  <c r="O62" i="1"/>
  <c r="P62" i="1" s="1"/>
  <c r="L20" i="1"/>
  <c r="D40" i="1"/>
  <c r="P39" i="1"/>
  <c r="O38" i="1"/>
  <c r="P38" i="1" s="1"/>
  <c r="L87" i="1"/>
  <c r="D86" i="1"/>
  <c r="N38" i="1"/>
  <c r="K38" i="1"/>
  <c r="L38" i="1"/>
  <c r="F16" i="1"/>
  <c r="F10" i="1" s="1"/>
  <c r="L77" i="1"/>
  <c r="K77" i="1"/>
  <c r="H24" i="1"/>
  <c r="P56" i="1"/>
  <c r="K56" i="1"/>
  <c r="L56" i="1"/>
  <c r="P52" i="1"/>
  <c r="L52" i="1"/>
  <c r="K52" i="1"/>
  <c r="K48" i="1"/>
  <c r="L48" i="1"/>
  <c r="K36" i="1"/>
  <c r="K33" i="1"/>
  <c r="K29" i="1"/>
  <c r="L79" i="1"/>
  <c r="L83" i="1"/>
  <c r="L82" i="1"/>
  <c r="L81" i="1"/>
  <c r="P63" i="1"/>
  <c r="L63" i="1"/>
  <c r="K63" i="1"/>
  <c r="O47" i="1"/>
  <c r="P47" i="1" s="1"/>
  <c r="K47" i="1"/>
  <c r="L47" i="1"/>
  <c r="O32" i="1"/>
  <c r="P32" i="1" s="1"/>
  <c r="K32" i="1"/>
  <c r="L32" i="1"/>
  <c r="K28" i="1"/>
  <c r="K23" i="1"/>
  <c r="K20" i="1"/>
  <c r="I14" i="1"/>
  <c r="I11" i="1" s="1"/>
  <c r="H15" i="1"/>
  <c r="L78" i="1"/>
  <c r="P11" i="1"/>
  <c r="P46" i="1"/>
  <c r="K46" i="1"/>
  <c r="L46" i="1"/>
  <c r="K35" i="1"/>
  <c r="D24" i="1"/>
  <c r="D17" i="1" s="1"/>
  <c r="N17" i="1" s="1"/>
  <c r="K19" i="1"/>
  <c r="L19" i="1"/>
  <c r="I40" i="1"/>
  <c r="O24" i="1"/>
  <c r="I70" i="1"/>
  <c r="H71" i="1"/>
  <c r="L57" i="1"/>
  <c r="K57" i="1"/>
  <c r="O57" i="1"/>
  <c r="P57" i="1" s="1"/>
  <c r="P53" i="1"/>
  <c r="L53" i="1"/>
  <c r="K53" i="1"/>
  <c r="K45" i="1"/>
  <c r="K34" i="1"/>
  <c r="K30" i="1"/>
  <c r="K18" i="1"/>
  <c r="L18" i="1"/>
  <c r="K12" i="1"/>
  <c r="L12" i="1"/>
  <c r="K13" i="1"/>
  <c r="P13" i="1"/>
  <c r="L13" i="1"/>
  <c r="L68" i="1"/>
  <c r="H40" i="1"/>
  <c r="L40" i="1" s="1"/>
  <c r="M40" i="1"/>
  <c r="N40" i="1" s="1"/>
  <c r="M70" i="1"/>
  <c r="N84" i="1"/>
  <c r="O87" i="1"/>
  <c r="P87" i="1" s="1"/>
  <c r="L41" i="1"/>
  <c r="I16" i="1" l="1"/>
  <c r="O86" i="1"/>
  <c r="P86" i="1" s="1"/>
  <c r="K74" i="1"/>
  <c r="L74" i="1"/>
  <c r="O70" i="1"/>
  <c r="P70" i="1" s="1"/>
  <c r="P75" i="1"/>
  <c r="N70" i="1"/>
  <c r="N11" i="1"/>
  <c r="K87" i="1"/>
  <c r="K86" i="1" s="1"/>
  <c r="K85" i="1" s="1"/>
  <c r="K24" i="1"/>
  <c r="K17" i="1" s="1"/>
  <c r="O40" i="1"/>
  <c r="P40" i="1" s="1"/>
  <c r="L86" i="1"/>
  <c r="D85" i="1"/>
  <c r="L85" i="1" s="1"/>
  <c r="D16" i="1"/>
  <c r="O17" i="1"/>
  <c r="P24" i="1"/>
  <c r="K40" i="1"/>
  <c r="N24" i="1"/>
  <c r="L71" i="1"/>
  <c r="H70" i="1"/>
  <c r="K15" i="1"/>
  <c r="K14" i="1" s="1"/>
  <c r="K11" i="1" s="1"/>
  <c r="E4" i="3" s="1"/>
  <c r="H14" i="1"/>
  <c r="H11" i="1" s="1"/>
  <c r="L15" i="1"/>
  <c r="L14" i="1" s="1"/>
  <c r="I10" i="1"/>
  <c r="H17" i="1"/>
  <c r="L17" i="1" s="1"/>
  <c r="L24" i="1"/>
  <c r="K71" i="1"/>
  <c r="M16" i="1"/>
  <c r="M10" i="1" s="1"/>
  <c r="L70" i="1" l="1"/>
  <c r="K70" i="1"/>
  <c r="K16" i="1" s="1"/>
  <c r="K10" i="1" s="1"/>
  <c r="P17" i="1"/>
  <c r="O16" i="1"/>
  <c r="L11" i="1"/>
  <c r="D4" i="3"/>
  <c r="H16" i="1"/>
  <c r="H10" i="1" s="1"/>
  <c r="C5" i="3"/>
  <c r="C6" i="3" s="1"/>
  <c r="D10" i="1"/>
  <c r="N16" i="1"/>
  <c r="N10" i="1" s="1"/>
  <c r="L10" i="1" l="1"/>
  <c r="E5" i="3"/>
  <c r="E6" i="3" s="1"/>
  <c r="O10" i="1"/>
  <c r="P10" i="1" s="1"/>
  <c r="P16" i="1"/>
  <c r="D5" i="3"/>
  <c r="F5" i="3" s="1"/>
  <c r="L16" i="1"/>
  <c r="F4" i="3"/>
  <c r="D6" i="3" l="1"/>
  <c r="F6" i="3" s="1"/>
</calcChain>
</file>

<file path=xl/sharedStrings.xml><?xml version="1.0" encoding="utf-8"?>
<sst xmlns="http://schemas.openxmlformats.org/spreadsheetml/2006/main" count="272" uniqueCount="208">
  <si>
    <t>BÁO CÁO TÌNH HÌNH THỰC HIỆN ĐTXDCB</t>
  </si>
  <si>
    <t>TT</t>
  </si>
  <si>
    <t>Nguồn vốn , Danh mục công trình</t>
  </si>
  <si>
    <t>Tổng số</t>
  </si>
  <si>
    <t>T/ toán</t>
  </si>
  <si>
    <t>T.ứng</t>
  </si>
  <si>
    <t>A</t>
  </si>
  <si>
    <t>CHI NGÂN SÁCH HUYỆN</t>
  </si>
  <si>
    <t>CHI NGÂN SÁCH TỈNH</t>
  </si>
  <si>
    <t>I</t>
  </si>
  <si>
    <t>Trường THCS BT DTTS huyện Tu Mơ Rông</t>
  </si>
  <si>
    <t>6=7+8</t>
  </si>
  <si>
    <t>10=11+12</t>
  </si>
  <si>
    <t>16=17+18</t>
  </si>
  <si>
    <t xml:space="preserve">B </t>
  </si>
  <si>
    <t>Nguồn cân đối ngân sách địa phương</t>
  </si>
  <si>
    <t xml:space="preserve">Chương trình mục tiêu quốc gia giảm nghèo bền vững </t>
  </si>
  <si>
    <t>II</t>
  </si>
  <si>
    <t>III</t>
  </si>
  <si>
    <t>Chương trình mục tiêu quốc gia phát triển kinh tế xã hội vùng đồng bào dân tộc thiểu số và miền núi</t>
  </si>
  <si>
    <t>Đường đi khu sản xuất thôn Đăk Chum 2</t>
  </si>
  <si>
    <t>Nước sinh hoạt tập trung Thôn Long Hy 2 - xã Măng Ri</t>
  </si>
  <si>
    <t>Dự án sắp xếp, bố trí, ổn định dân cư tại chỗ xã Đăk Rơ Ông và Đăk Tờ Kan huyện Tu Mơ Rông</t>
  </si>
  <si>
    <t>Dự án sắp xếp, bố trí, ổn định dân cư tập trung và tại chỗ xã Đăk Hà huyện Tu Mơ Rông</t>
  </si>
  <si>
    <t>Tôn tạo, phục dựng, sửa chữa, xây dựng Di tích lịch sử cách mạng Căn cứ Tỉnh ủy Kon Tum</t>
  </si>
  <si>
    <t>Kế hoạch vốn năm 2023</t>
  </si>
  <si>
    <t>TRÊN ĐỊA BÀN HUYỆN TU MƠ RÔNG KẾ HOẠCH NĂM 2023</t>
  </si>
  <si>
    <t>Năm 2023</t>
  </si>
  <si>
    <t>1.1</t>
  </si>
  <si>
    <t>Dự án Kè chống sạt lở bờ suối Đăk Ter, huyện Tu Mơ Rông, tỉnh Kon Tum</t>
  </si>
  <si>
    <t>Dự án Bố trí ổn định dân di cư tự do và sắp xếp dân cư ở vùng thiên tai  và vùng đặc biệt khó khăn trên địa bàn huyện Tu Mơ Rông</t>
  </si>
  <si>
    <t>Đập dâng, kết hợp mặt bằng, đường bố trí dân cư thôn Mô Pả, xã Đăk Hà</t>
  </si>
  <si>
    <t>Trường Tiểu học Đăk Hà</t>
  </si>
  <si>
    <t>Ngân sách địa phương</t>
  </si>
  <si>
    <t>Nguồn nông thôn mới</t>
  </si>
  <si>
    <t>Hệ thống điện chiếu sáng năng lượng mặt trời khu trung tâm huyện</t>
  </si>
  <si>
    <t xml:space="preserve">Nguồn thu sổ xố kiến thiết </t>
  </si>
  <si>
    <t>Khu Văn hóa, kết hợp dụng cụ thể dục thể thao, xã Đăk Hà</t>
  </si>
  <si>
    <t>Quảng trường kết hợp Khu thể thao xã Đăk Hà</t>
  </si>
  <si>
    <t>Đường liên thôn từ thôn Tu Cấp vào thôn Đăk Ka - Văn Sang - Đăk Neang, xã Tu Mơ Rông</t>
  </si>
  <si>
    <t>Đường đi khu sản xuất, thác Siu Puông, xã Đăk Na</t>
  </si>
  <si>
    <t>Nâng cấp, sữa chữa nước sinh hoạt thôn Tam Rin</t>
  </si>
  <si>
    <t>Khu văn hóa thể thao xã Đăk Sao</t>
  </si>
  <si>
    <t>Đường đi khu sản xuất thôn Đăk Riếp 1, xã Đăk Na</t>
  </si>
  <si>
    <t>Khu văn hóa thể thao xã Đăk Tờ Kan</t>
  </si>
  <si>
    <t>Khu văn hóa thể thao xã Tê Xăng</t>
  </si>
  <si>
    <t>Nước sinh hoạt tập trung khu tái định cư Ba Khen-Long Tro xã Văn Xuôi</t>
  </si>
  <si>
    <t>Nâng cấp, sữa chữa nước sinh hoạt trung tâm xã Ngọc Yêu</t>
  </si>
  <si>
    <t>Nước sinh hoạt tập trung thôn Ngọc Đo - Long Láy 1- Ba Tu 1</t>
  </si>
  <si>
    <t>Nâng cấp, sửa chữa đường liên xã Đăk Hà qua xã Đăk Rơ Ông</t>
  </si>
  <si>
    <t>Trường Phổ thông dân tộc bán trú Trung học cơ sở xã Đắk Sao</t>
  </si>
  <si>
    <t xml:space="preserve">Trường Phổ thông dân tộc bán trú Tiểu học -Trung học cơ sở xã Măng Ry </t>
  </si>
  <si>
    <t>Trường Trung học cơ sở Bán trú Dân tộc thiểu số Tu Mơ Rông</t>
  </si>
  <si>
    <t>Trường Phổ thông dân tộc bán trú Trung học cơ sở xã Đắk Na</t>
  </si>
  <si>
    <t xml:space="preserve">Trường Phổ thông dân tộc bán trú Tiểu học - Trung học cơ sở xã Ngọc Yêu </t>
  </si>
  <si>
    <t xml:space="preserve">Trường Phổ thông dân tộc bán trú Tiểu học - Trung học cơ sở xã Ngọc Lây </t>
  </si>
  <si>
    <t>Trường TH xã Đăk Hà</t>
  </si>
  <si>
    <t>V</t>
  </si>
  <si>
    <t>Trường mầm non xã Đăk Hà</t>
  </si>
  <si>
    <t>Đường đi khu sản xuất thôn Kon Hia 3, xã Đăk Rơ Ông</t>
  </si>
  <si>
    <t xml:space="preserve">Nâng cấp đường giao thông thôn Năng Lớn 1, xã Đăk Sao </t>
  </si>
  <si>
    <t>Gia cố các hạng mục xung yếu; Bố trí điện chiếu sáng các thôn trên địa bàn xã Đăk Na</t>
  </si>
  <si>
    <t>Đường Ty Tu đi khu sản xuất tập trung xã Đăk Hà</t>
  </si>
  <si>
    <t>Sửa chữa đường vào khu tái định thôn Long Tro, Ba Khen , xã Văn Xuôi</t>
  </si>
  <si>
    <t>Khu văn hóa thể thao Ngọk Lây; Hạng mục: Sân bóng đá (sân cỏ nhân tạo); Sân khấu ngoài trời; Sân, đường bê tông và các hạng mục phụ trợ.</t>
  </si>
  <si>
    <t xml:space="preserve">Gia cố các hạng mục xung yếu trên tuyến đường vào và đường nội bộ khu tái định cư thôn Tu Thó, xã Tê Xăng </t>
  </si>
  <si>
    <t xml:space="preserve">Nước sinh hoạt Ba Tu 3, xã Ngọc Yêu </t>
  </si>
  <si>
    <t>Nước sinh hoạt trung tâm huyện xã Đăk Hà (hạng mục nhánh nhỏ)</t>
  </si>
  <si>
    <t>IV</t>
  </si>
  <si>
    <t>Trường PTDTBT THCS xã Đăk Na; Hạng mục: Xây mới 01 phòng ở học sinh</t>
  </si>
  <si>
    <t>Trường PTDTBT THCS xã Đăk Sao; Hạng mục: xây dựng mới nhà ở học sinh 05 phòng</t>
  </si>
  <si>
    <t xml:space="preserve">Trường TH xã Đăk Hà; Hạng mục: Phòng bộ môn </t>
  </si>
  <si>
    <t>Trường PTDTBT THCS xã Đăk Sao; Hạng mục: xây mới nhà vệ sinh 04 phòng, giếng khoan và các hạng mục phụ trợ</t>
  </si>
  <si>
    <t>Trường PTDTBT TH xã Đăk Na; Hạng mục: Xây mới nhà vệ sinh 04 phòng (02 khu).</t>
  </si>
  <si>
    <t>Trường THCS BT DTTS Tu Mơ Rông; Hạng mục: Xây dựng mới nhà vệ sinh 08 phòng, giếng khoan và các hạng mục phụ trợ.</t>
  </si>
  <si>
    <t>Trường PTDTBT TH THCS xã Ngọk Yêu; Hạng mục: Công trình vệ sinh, nước sạch</t>
  </si>
  <si>
    <t xml:space="preserve">Trường PTDTBT TH-THCS xã Măng Ry; Hạng mục: Nhà sinh hoạt, giáo dục văn hoá dân tộc </t>
  </si>
  <si>
    <t>Trường PTDTBT TH-THCS xã Ngọk Lây; Hạng mục: Nhà sinh hoạt, giáo dục văn hóa dân tộc</t>
  </si>
  <si>
    <t>Trường PTDTBT TH-THCS xã Ngọk Lây; Hạng mục: Phòng ở cho học sinh bán trú, nội trú</t>
  </si>
  <si>
    <t xml:space="preserve">Nước sinh hoạt tập trung khu tái định cư Ba Khen - Long Tro xã Văn Xuôi </t>
  </si>
  <si>
    <t>NĂM 2022 KÉO DÀI</t>
  </si>
  <si>
    <t>Cầu treo thôn Ba Ham, xã Đăk Na</t>
  </si>
  <si>
    <t>Tuyến đường liên thôn Tu Thó, xã Tê Xăng</t>
  </si>
  <si>
    <t xml:space="preserve">Cầu treo thôn Tân Ba </t>
  </si>
  <si>
    <t>1.2</t>
  </si>
  <si>
    <t>1.3</t>
  </si>
  <si>
    <t>1.4</t>
  </si>
  <si>
    <t>1.5</t>
  </si>
  <si>
    <t>1.6</t>
  </si>
  <si>
    <t>1.7</t>
  </si>
  <si>
    <t>1.8</t>
  </si>
  <si>
    <t>NĂM 2023</t>
  </si>
  <si>
    <t>Năm 2022
chuyển sang 
2023 tiếp tục
 thực hiện</t>
  </si>
  <si>
    <t xml:space="preserve">Tổng mức đầu tư </t>
  </si>
  <si>
    <t>Cấp nước sinh hoạt các thôn xã Đăk Hà</t>
  </si>
  <si>
    <t>Tỷ lệ %</t>
  </si>
  <si>
    <t>Công trình bão lũ</t>
  </si>
  <si>
    <t>Ngân sách trung ương</t>
  </si>
  <si>
    <t xml:space="preserve">Đầu tư cơ sở hạ tầng các xã vùng ATK tỉnh Kon Tum </t>
  </si>
  <si>
    <t xml:space="preserve">Nước sinh hoạt trung tâm huyện Tu Mơ Rông </t>
  </si>
  <si>
    <t>1.9</t>
  </si>
  <si>
    <t>1.10</t>
  </si>
  <si>
    <t xml:space="preserve">Khắc phục sạt lở đường từ trung tâm huyện đi 04 xã phía Tây </t>
  </si>
  <si>
    <t>Đường vào thôn Đăk Chum 1, xã Tu Mơ Rông</t>
  </si>
  <si>
    <t>Cầu tràn Đăk Ter khu trung tâm huyện xã Đăk Hà</t>
  </si>
  <si>
    <t xml:space="preserve">Hỗ trợ đền bù giải phóng mặt bằng Thao trường huấn luyện - Thao trường bắn trung tâm huyện </t>
  </si>
  <si>
    <t xml:space="preserve">Đơn vị thi công </t>
  </si>
  <si>
    <t xml:space="preserve">Đơn vị giám sát </t>
  </si>
  <si>
    <t xml:space="preserve">Công ty TNHH Nhật An Bảo </t>
  </si>
  <si>
    <t xml:space="preserve">Công ty TNHH 
Nhật An Bảo </t>
  </si>
  <si>
    <t xml:space="preserve">Công ty TNHH Nhật An Bảo, TNHH MTV Hoàng Hải Kon Tum , công ty TNHH MTV An Vinh Thịnh </t>
  </si>
  <si>
    <t xml:space="preserve">công ty TNHH MTV tư vấn và xây dựng Tường Tâm </t>
  </si>
  <si>
    <t xml:space="preserve">Công ty TNHH MTV Phong Hải </t>
  </si>
  <si>
    <t>Xí nghiệp xây dựng Tư Doanh Hoà Bình</t>
  </si>
  <si>
    <t xml:space="preserve">TNHH MTV Hoàng Hải Kon Tum , công ty TNHH MTV An Vinh Thịnh </t>
  </si>
  <si>
    <t xml:space="preserve">Công ty TNHH MTV Đồng Tâm </t>
  </si>
  <si>
    <t xml:space="preserve">Công ty TNHH MTV Trường Hà  </t>
  </si>
  <si>
    <t>Công ty TNHH MTV Trường Hà , Công ty TNHH Lộc Tiến</t>
  </si>
  <si>
    <t>Công ty TNHH MTVĐồng Lợi KT</t>
  </si>
  <si>
    <t xml:space="preserve">Công ty TNHH MTV Đông Anh </t>
  </si>
  <si>
    <t xml:space="preserve">Công ty TNHH Minh Long Kon Tum </t>
  </si>
  <si>
    <t>Công ty TNHH MTV số 7 Kon Tum</t>
  </si>
  <si>
    <t>Công ty TNHH Nhật An Bảo</t>
  </si>
  <si>
    <t>Công ty TNHH MTV Hiếu Đạt</t>
  </si>
  <si>
    <t>Công ty TNHH MTV Minh Long Kon Tum</t>
  </si>
  <si>
    <t xml:space="preserve">Công ty TNHH MTV Vũ Đại Lộc </t>
  </si>
  <si>
    <t>Công ty TNHH MTV Vũ Đại Lộc</t>
  </si>
  <si>
    <t>Công ty TNHH MTV Phong Hải</t>
  </si>
  <si>
    <t xml:space="preserve">Công ty TNHH MTV Trường Hà và CTY TNHH Lộc Tiến </t>
  </si>
  <si>
    <t>Công ty TNHH một thành viên Đạt Thành Kon Tum</t>
  </si>
  <si>
    <t>Công ty TNHH Đồng Tâm, Công ty TNHH tư vấn và xây dựng Phong Hải</t>
  </si>
  <si>
    <t>Công ty TNHH Thanh Xuân Kon Tum</t>
  </si>
  <si>
    <t xml:space="preserve">Công ty TNHH Tuấn Dũng </t>
  </si>
  <si>
    <t xml:space="preserve">Công ty TNHH MTV Trường Hà Kon Tum </t>
  </si>
  <si>
    <t>Công ty TNHH MTV An Vinh Thịnh, Công ty TNHH tư vấn và xây dựng Phong Hải</t>
  </si>
  <si>
    <t xml:space="preserve">Công ty TNHH Tuấn Dũng, Công ty TNHH MTV An Vinh Thịnh </t>
  </si>
  <si>
    <t xml:space="preserve">Công ty TNHH MTV An Vinh Thịnh, </t>
  </si>
  <si>
    <t>Công ty TNHH MTV An Vinh Thịnh, Công ty cổ phần Tư vấn và Xây dựng Phùng Nguyên Kon Tum , Công ty TNHH Huynh Đệ Kon Tum</t>
  </si>
  <si>
    <t>Công ty TNHH Nhật An Bảo, Công ty TNHH MTV Hoàng Hải</t>
  </si>
  <si>
    <t xml:space="preserve">Công ty TNHH Huynh Đệ Kon Tum , Công ty cổ phần Tư vấn và Xây dựng Phùng Nguyên Kon Tum </t>
  </si>
  <si>
    <t>Công ty TNHH MTV tư vấn xây dựng Kim Hoàn</t>
  </si>
  <si>
    <t>Công ty TNHH Quốc Hùng</t>
  </si>
  <si>
    <t>LD Công ty TNHH MTV Đồng Lợi KT và Công ty TNHH ĐT và XD Nguyên Thịnh</t>
  </si>
  <si>
    <t>Công ty TNHH Lộc Vùng và Công ty TNHH An Vinh Thịnh, Công ty TNHH Phong Hải</t>
  </si>
  <si>
    <t>Đã quyết toán</t>
  </si>
  <si>
    <t>Chưa</t>
  </si>
  <si>
    <t>Công ty TNHH MTV An Vinh Thịnh</t>
  </si>
  <si>
    <t xml:space="preserve">Công ty TNHH MTV Minh Long Kon Tum </t>
  </si>
  <si>
    <t>Công ty TNHH MTV Hải Nam 1 Kon Tum</t>
  </si>
  <si>
    <t>Công ty TNHH Tư vấn - Xây dựng Thiên Phú Kon Tum</t>
  </si>
  <si>
    <t>Công ty TNHH Vạn Phú</t>
  </si>
  <si>
    <t>Công ty TNHH Quốc Hùng (viên)</t>
  </si>
  <si>
    <t>Công ty TNHH MTV Trí Đông Phương</t>
  </si>
  <si>
    <t>Công ty TNHH MTV Quang Hưng Kon Tum</t>
  </si>
  <si>
    <t>Dự kiến tổng giải ngân đến 30/6/2023</t>
  </si>
  <si>
    <t>(tỷ lệ đã giải ngân đạt %)</t>
  </si>
  <si>
    <t xml:space="preserve">Công ty TNHH Đầu tư và xây dựng Nguyên Thịnh, công ty TNHH MTV Huynh Đạt và Công ty TNHH MTV An Vinh Thịnh </t>
  </si>
  <si>
    <t>STT</t>
  </si>
  <si>
    <t>Nguồn vốn</t>
  </si>
  <si>
    <t xml:space="preserve">Tổng vốn giao </t>
  </si>
  <si>
    <t xml:space="preserve">Tổng đã giải ngân </t>
  </si>
  <si>
    <t xml:space="preserve">Còn lại </t>
  </si>
  <si>
    <t>Tỷ lệ giải ngân đạt</t>
  </si>
  <si>
    <t>Ngân sách tỉnh</t>
  </si>
  <si>
    <t>Ngân sách huyện</t>
  </si>
  <si>
    <t xml:space="preserve">Tổng cộng </t>
  </si>
  <si>
    <t xml:space="preserve">Tăng so với tuần trước </t>
  </si>
  <si>
    <t xml:space="preserve">Đã quyết toán </t>
  </si>
  <si>
    <t>Tổng vốn 2023</t>
  </si>
  <si>
    <t>Tổng vốn năm 2022 và các năm trước</t>
  </si>
  <si>
    <t>đã xong</t>
  </si>
  <si>
    <t xml:space="preserve">đã giải ngân hết </t>
  </si>
  <si>
    <t xml:space="preserve">Kế hoạch giải ngân  </t>
  </si>
  <si>
    <t>ĐVT: 1.000 đồng</t>
  </si>
  <si>
    <t>Trường THCS bán trú DTTS huyện; Hạng mục: Khắc phục sạt lở kè xây đá và mương thoát nước mái taluy, tường rào</t>
  </si>
  <si>
    <t>Quảng trường trung tâm huyện (Hạng mục: mái che khán đài)</t>
  </si>
  <si>
    <t>Sửa chữa trụ sở làm việc UBND huyện (Nhà làm việc và các hạng mục phụ trợ)</t>
  </si>
  <si>
    <t>Càu tràn Đăk Riếp 1 đi khu du lịch Siu Puông</t>
  </si>
  <si>
    <t xml:space="preserve">Chỉnh trang đô thị khu trung tâm huyện </t>
  </si>
  <si>
    <t>Cầu tràn qua suối thôn Mô Za, xã Ngọk Lây phục vụ phát triển vùng dược liệu</t>
  </si>
  <si>
    <t xml:space="preserve">Thuỷ lợi Đăk Pui, xã Đăk Tờ Kan </t>
  </si>
  <si>
    <t>Thuỷ lợi Đăk Sao (Hạng mục: Thuỷ lơi Ba Ron)</t>
  </si>
  <si>
    <t xml:space="preserve">Nâng cấp sửa chữa công trình thoát nước, vỉe hè các tuyến đường khu trung tâm huyện </t>
  </si>
  <si>
    <t>Công trình mới điều chỉnh</t>
  </si>
  <si>
    <t xml:space="preserve">Công trình điều chỉnh tên </t>
  </si>
  <si>
    <t>Trường mầm non xã Măng Ri</t>
  </si>
  <si>
    <t xml:space="preserve">Cầu tràn Tu Long xã Văn Xuôi </t>
  </si>
  <si>
    <t>tăng vốn</t>
  </si>
  <si>
    <t xml:space="preserve">Chương trình mục tiêu quốc gia giảm 
nghèo bền vững </t>
  </si>
  <si>
    <t xml:space="preserve">Liên doanh Xí nghiệp xây dựng tư doanh Hoà Bình, Công ty TNHH MTV An Vinh Thịnh, Doanh nghiệp tư nhân đá mỹ nghệ và xây dựng Ninh Vân </t>
  </si>
  <si>
    <t xml:space="preserve">Đã giải ngân hết </t>
  </si>
  <si>
    <t>Công ty TNHH Minh Long Kon Tum và Công ty TNHH MTV Đạt Thành</t>
  </si>
  <si>
    <t>Công ty TNHH Thuận Nguyên Lộc</t>
  </si>
  <si>
    <t>Công ty TNHH TVXD Trường Phát Kon Tum</t>
  </si>
  <si>
    <t>Công ty TNHH Khai Thác Khoáng Sản Út Ty</t>
  </si>
  <si>
    <t>Công ty TNHH Đồng Tâm</t>
  </si>
  <si>
    <t xml:space="preserve">Công ty TNHH MTV Hiếu Đạt </t>
  </si>
  <si>
    <t>Công ty TNHH MTV Số 7 Kon Tum</t>
  </si>
  <si>
    <t>Công ty TNHH MTV Trường Hà, Công ty TNHH Lộc Tiến</t>
  </si>
  <si>
    <t>Kế hoạch giải ngân đến 31/10/2023</t>
  </si>
  <si>
    <t>Xí nghiệp xây dựng Tư Doanh Hoà Bình và Công ty TNHH Lộc Tiến</t>
  </si>
  <si>
    <t>THỰC HIỆN ĐẾN NGÀY 20/10/2023 VÀ KẾ HOẠCH GIẢI NGÂN ĐẾN NGÀY 31/10/2023</t>
  </si>
  <si>
    <t>Vốn còn đến 20/10/2023</t>
  </si>
  <si>
    <t>Số liệu giải ngân đến ngày 20/10/2023</t>
  </si>
  <si>
    <t>Công ty TNHH một thành viên Huynh Đạt</t>
  </si>
  <si>
    <t>Công ty TNHH Huynh Đệ Kon Tum</t>
  </si>
  <si>
    <t>Công ty TNHH XD DV &amp; TM Trường Phát Land</t>
  </si>
  <si>
    <t>Công ty TNHH Lộc Tiến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</si>
</sst>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##,0&quot;.&quot;00_);_(* \(###,0&quot;.&quot;00\);_(* &quot;-&quot;??_);_(@_)"/>
    <numFmt numFmtId="165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4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rgb="FF000000"/>
      <name val="Times New Roman"/>
      <family val="1"/>
    </font>
    <font>
      <sz val="10"/>
      <color rgb="FFFF0000"/>
      <name val="Times New Roman"/>
      <family val="1"/>
    </font>
    <font>
      <sz val="10"/>
      <color rgb="FF7030A0"/>
      <name val="Times New Roman"/>
      <family val="1"/>
    </font>
    <font>
      <sz val="10"/>
      <color theme="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165" fontId="5" fillId="0" borderId="1" xfId="2" applyNumberFormat="1" applyFont="1" applyFill="1" applyBorder="1" applyAlignment="1">
      <alignment horizontal="right" vertical="center" wrapText="1"/>
    </xf>
    <xf numFmtId="165" fontId="6" fillId="0" borderId="1" xfId="2" applyNumberFormat="1" applyFont="1" applyFill="1" applyBorder="1" applyAlignment="1">
      <alignment horizontal="right" vertical="center" wrapText="1"/>
    </xf>
    <xf numFmtId="0" fontId="2" fillId="0" borderId="0" xfId="0" applyFont="1"/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 wrapText="1"/>
    </xf>
    <xf numFmtId="10" fontId="7" fillId="0" borderId="1" xfId="3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65" fontId="6" fillId="0" borderId="1" xfId="0" applyNumberFormat="1" applyFont="1" applyFill="1" applyBorder="1" applyAlignment="1">
      <alignment horizontal="center" vertical="center"/>
    </xf>
    <xf numFmtId="10" fontId="6" fillId="0" borderId="1" xfId="3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5" fontId="5" fillId="0" borderId="0" xfId="0" applyNumberFormat="1" applyFont="1" applyFill="1" applyAlignment="1">
      <alignment horizontal="center" vertical="center"/>
    </xf>
    <xf numFmtId="165" fontId="5" fillId="0" borderId="0" xfId="2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right" vertical="center"/>
    </xf>
    <xf numFmtId="165" fontId="5" fillId="2" borderId="1" xfId="2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10" fontId="5" fillId="2" borderId="1" xfId="3" applyNumberFormat="1" applyFont="1" applyFill="1" applyBorder="1" applyAlignment="1">
      <alignment horizontal="right" vertical="center"/>
    </xf>
    <xf numFmtId="10" fontId="5" fillId="2" borderId="1" xfId="3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3" fontId="2" fillId="0" borderId="0" xfId="0" applyNumberFormat="1" applyFont="1"/>
    <xf numFmtId="0" fontId="8" fillId="0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/>
    </xf>
    <xf numFmtId="165" fontId="5" fillId="2" borderId="1" xfId="2" applyNumberFormat="1" applyFont="1" applyFill="1" applyBorder="1" applyAlignment="1">
      <alignment horizontal="center" vertical="center"/>
    </xf>
    <xf numFmtId="9" fontId="5" fillId="2" borderId="0" xfId="3" applyFont="1" applyFill="1" applyAlignment="1">
      <alignment horizontal="center" vertical="center"/>
    </xf>
    <xf numFmtId="165" fontId="5" fillId="2" borderId="1" xfId="2" applyNumberFormat="1" applyFont="1" applyFill="1" applyBorder="1" applyAlignment="1">
      <alignment horizontal="right" vertical="center" wrapText="1"/>
    </xf>
    <xf numFmtId="10" fontId="6" fillId="2" borderId="1" xfId="3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165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165" fontId="6" fillId="2" borderId="3" xfId="2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right" vertical="center"/>
    </xf>
    <xf numFmtId="10" fontId="6" fillId="2" borderId="1" xfId="3" applyNumberFormat="1" applyFont="1" applyFill="1" applyBorder="1" applyAlignment="1">
      <alignment horizontal="right" vertical="center"/>
    </xf>
    <xf numFmtId="10" fontId="6" fillId="2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65" fontId="6" fillId="2" borderId="1" xfId="2" quotePrefix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5" fontId="6" fillId="2" borderId="1" xfId="2" applyNumberFormat="1" applyFont="1" applyFill="1" applyBorder="1" applyAlignment="1">
      <alignment vertical="center"/>
    </xf>
    <xf numFmtId="165" fontId="5" fillId="2" borderId="1" xfId="3" applyNumberFormat="1" applyFont="1" applyFill="1" applyBorder="1" applyAlignment="1">
      <alignment horizontal="right" vertical="center"/>
    </xf>
    <xf numFmtId="9" fontId="5" fillId="2" borderId="1" xfId="3" applyNumberFormat="1" applyFont="1" applyFill="1" applyBorder="1" applyAlignment="1">
      <alignment horizontal="right" vertical="center"/>
    </xf>
    <xf numFmtId="165" fontId="6" fillId="2" borderId="1" xfId="3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165" fontId="6" fillId="2" borderId="1" xfId="2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AutoFormat-Optionen" xfId="1"/>
    <cellStyle name="Comma" xfId="2" builtinId="3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colorId="0" workbookViewId="0"/>
  </sheetViews>
  <sheetFormatPr defaultRowHeight="12.75" x14ac:dyDescent="0.2"/>
  <sheetData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130"/>
  <sheetViews>
    <sheetView tabSelected="1" view="pageBreakPreview" topLeftCell="C1" zoomScale="85" zoomScaleNormal="85" zoomScaleSheetLayoutView="85" workbookViewId="0">
      <pane ySplit="9" topLeftCell="A79" activePane="bottomLeft" state="frozen"/>
      <selection activeCell="J1" sqref="J1"/>
      <selection pane="bottomLeft" activeCell="J79" sqref="A2:T87"/>
    </sheetView>
  </sheetViews>
  <sheetFormatPr defaultColWidth="9.140625" defaultRowHeight="12.75" x14ac:dyDescent="0.2"/>
  <cols>
    <col min="1" max="1" width="4.7109375" style="28" customWidth="1"/>
    <col min="2" max="2" width="41.42578125" style="27" customWidth="1"/>
    <col min="3" max="3" width="11.5703125" style="28" customWidth="1"/>
    <col min="4" max="4" width="12.5703125" style="28" customWidth="1"/>
    <col min="5" max="5" width="11.5703125" style="28" hidden="1" customWidth="1"/>
    <col min="6" max="6" width="12.5703125" style="28" customWidth="1"/>
    <col min="7" max="7" width="13.42578125" style="27" customWidth="1"/>
    <col min="8" max="10" width="11.5703125" style="27" customWidth="1"/>
    <col min="11" max="11" width="11.28515625" style="27" customWidth="1"/>
    <col min="12" max="12" width="12.5703125" style="33" customWidth="1"/>
    <col min="13" max="13" width="11.5703125" style="27" hidden="1" customWidth="1"/>
    <col min="14" max="14" width="8.5703125" style="27" hidden="1" customWidth="1"/>
    <col min="15" max="15" width="13.42578125" style="27" customWidth="1"/>
    <col min="16" max="16" width="12.85546875" style="27" customWidth="1"/>
    <col min="17" max="17" width="14.28515625" style="27" customWidth="1"/>
    <col min="18" max="18" width="22.28515625" style="27" customWidth="1"/>
    <col min="19" max="19" width="23.140625" style="27" customWidth="1"/>
    <col min="20" max="16384" width="9.140625" style="27"/>
  </cols>
  <sheetData>
    <row r="1" spans="1:204" ht="23.25" customHeight="1" x14ac:dyDescent="0.2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N1" s="119"/>
      <c r="O1" s="119"/>
      <c r="P1" s="119"/>
      <c r="Q1" s="28"/>
      <c r="R1" s="28"/>
      <c r="S1" s="28"/>
    </row>
    <row r="2" spans="1:204" ht="18.75" customHeight="1" x14ac:dyDescent="0.2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43"/>
    </row>
    <row r="3" spans="1:204" ht="23.25" customHeight="1" x14ac:dyDescent="0.2">
      <c r="A3" s="120" t="s">
        <v>26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43"/>
    </row>
    <row r="4" spans="1:204" ht="23.25" customHeight="1" x14ac:dyDescent="0.2">
      <c r="A4" s="120" t="s">
        <v>201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43"/>
    </row>
    <row r="5" spans="1:204" ht="17.25" customHeight="1" x14ac:dyDescent="0.2">
      <c r="A5" s="60"/>
      <c r="B5" s="82"/>
      <c r="C5" s="83"/>
      <c r="D5" s="84"/>
      <c r="E5" s="84"/>
      <c r="F5" s="83"/>
      <c r="G5" s="85"/>
      <c r="H5" s="85"/>
      <c r="I5" s="85"/>
      <c r="J5" s="110"/>
      <c r="K5" s="111"/>
      <c r="L5" s="111"/>
      <c r="M5" s="43"/>
      <c r="N5" s="110"/>
      <c r="O5" s="111"/>
      <c r="P5" s="111"/>
      <c r="Q5" s="86"/>
      <c r="R5" s="111" t="s">
        <v>173</v>
      </c>
      <c r="S5" s="111"/>
      <c r="T5" s="43"/>
    </row>
    <row r="6" spans="1:204" s="15" customFormat="1" ht="21" customHeight="1" x14ac:dyDescent="0.2">
      <c r="A6" s="124" t="s">
        <v>1</v>
      </c>
      <c r="B6" s="124" t="s">
        <v>2</v>
      </c>
      <c r="C6" s="117" t="s">
        <v>25</v>
      </c>
      <c r="D6" s="125"/>
      <c r="E6" s="125"/>
      <c r="F6" s="125"/>
      <c r="G6" s="118"/>
      <c r="H6" s="126" t="s">
        <v>203</v>
      </c>
      <c r="I6" s="127"/>
      <c r="J6" s="128"/>
      <c r="K6" s="117" t="s">
        <v>202</v>
      </c>
      <c r="L6" s="118"/>
      <c r="M6" s="112" t="s">
        <v>172</v>
      </c>
      <c r="N6" s="113"/>
      <c r="O6" s="113"/>
      <c r="P6" s="114"/>
      <c r="Q6" s="115" t="s">
        <v>166</v>
      </c>
      <c r="R6" s="115" t="s">
        <v>106</v>
      </c>
      <c r="S6" s="115" t="s">
        <v>107</v>
      </c>
      <c r="T6" s="88"/>
    </row>
    <row r="7" spans="1:204" s="15" customFormat="1" ht="23.25" customHeight="1" x14ac:dyDescent="0.2">
      <c r="A7" s="124"/>
      <c r="B7" s="124"/>
      <c r="C7" s="115" t="s">
        <v>93</v>
      </c>
      <c r="D7" s="122" t="s">
        <v>3</v>
      </c>
      <c r="E7" s="115" t="s">
        <v>169</v>
      </c>
      <c r="F7" s="115" t="s">
        <v>168</v>
      </c>
      <c r="G7" s="115" t="s">
        <v>92</v>
      </c>
      <c r="H7" s="129"/>
      <c r="I7" s="130"/>
      <c r="J7" s="131"/>
      <c r="K7" s="122" t="s">
        <v>3</v>
      </c>
      <c r="L7" s="115" t="s">
        <v>155</v>
      </c>
      <c r="M7" s="115" t="s">
        <v>154</v>
      </c>
      <c r="N7" s="115" t="s">
        <v>95</v>
      </c>
      <c r="O7" s="115" t="s">
        <v>199</v>
      </c>
      <c r="P7" s="115" t="s">
        <v>95</v>
      </c>
      <c r="Q7" s="116"/>
      <c r="R7" s="116"/>
      <c r="S7" s="116"/>
      <c r="T7" s="88"/>
    </row>
    <row r="8" spans="1:204" s="15" customFormat="1" ht="39.75" customHeight="1" x14ac:dyDescent="0.2">
      <c r="A8" s="124"/>
      <c r="B8" s="124"/>
      <c r="C8" s="116"/>
      <c r="D8" s="123"/>
      <c r="E8" s="116"/>
      <c r="F8" s="116" t="s">
        <v>27</v>
      </c>
      <c r="G8" s="116"/>
      <c r="H8" s="89" t="s">
        <v>3</v>
      </c>
      <c r="I8" s="90" t="s">
        <v>4</v>
      </c>
      <c r="J8" s="89" t="s">
        <v>5</v>
      </c>
      <c r="K8" s="123"/>
      <c r="L8" s="116"/>
      <c r="M8" s="116"/>
      <c r="N8" s="116"/>
      <c r="O8" s="116"/>
      <c r="P8" s="116"/>
      <c r="Q8" s="116"/>
      <c r="R8" s="116"/>
      <c r="S8" s="116"/>
      <c r="T8" s="88"/>
    </row>
    <row r="9" spans="1:204" s="29" customFormat="1" ht="16.5" customHeight="1" x14ac:dyDescent="0.2">
      <c r="A9" s="89">
        <v>1</v>
      </c>
      <c r="B9" s="89">
        <v>2</v>
      </c>
      <c r="C9" s="89"/>
      <c r="D9" s="89" t="s">
        <v>11</v>
      </c>
      <c r="E9" s="89"/>
      <c r="F9" s="89">
        <v>7</v>
      </c>
      <c r="G9" s="89">
        <v>8</v>
      </c>
      <c r="H9" s="89" t="s">
        <v>12</v>
      </c>
      <c r="I9" s="89">
        <v>11</v>
      </c>
      <c r="J9" s="89">
        <v>12</v>
      </c>
      <c r="K9" s="89" t="s">
        <v>13</v>
      </c>
      <c r="L9" s="89">
        <v>19</v>
      </c>
      <c r="M9" s="87">
        <v>20</v>
      </c>
      <c r="N9" s="87">
        <v>21</v>
      </c>
      <c r="O9" s="87">
        <v>22</v>
      </c>
      <c r="P9" s="87">
        <v>23</v>
      </c>
      <c r="Q9" s="87">
        <v>24</v>
      </c>
      <c r="R9" s="87"/>
      <c r="S9" s="87"/>
      <c r="T9" s="91"/>
    </row>
    <row r="10" spans="1:204" s="18" customFormat="1" ht="21.75" customHeight="1" x14ac:dyDescent="0.2">
      <c r="A10" s="87" t="s">
        <v>6</v>
      </c>
      <c r="B10" s="87" t="s">
        <v>91</v>
      </c>
      <c r="C10" s="87"/>
      <c r="D10" s="92">
        <f>D11+D16</f>
        <v>151221579.80000001</v>
      </c>
      <c r="E10" s="92"/>
      <c r="F10" s="92">
        <f t="shared" ref="F10:N10" si="0">F11+F16</f>
        <v>106396462.80000001</v>
      </c>
      <c r="G10" s="92">
        <f t="shared" si="0"/>
        <v>44825117</v>
      </c>
      <c r="H10" s="92">
        <f>H11+H16</f>
        <v>65146495.692000002</v>
      </c>
      <c r="I10" s="92">
        <f>I11+I16</f>
        <v>42859455.353999995</v>
      </c>
      <c r="J10" s="92">
        <f>J11+J16</f>
        <v>22287040.338</v>
      </c>
      <c r="K10" s="93">
        <f>K11+K16</f>
        <v>86075084.107999995</v>
      </c>
      <c r="L10" s="94">
        <f>H10/D10</f>
        <v>0.43080158121718021</v>
      </c>
      <c r="M10" s="93">
        <f t="shared" si="0"/>
        <v>58755999.399999999</v>
      </c>
      <c r="N10" s="93">
        <f t="shared" si="0"/>
        <v>0.70550388988089852</v>
      </c>
      <c r="O10" s="93">
        <f>O11+O16</f>
        <v>106734511.08</v>
      </c>
      <c r="P10" s="94">
        <f>O10/D10</f>
        <v>0.70581534210370678</v>
      </c>
      <c r="Q10" s="93">
        <f>Q11+Q16</f>
        <v>2146648</v>
      </c>
      <c r="R10" s="64"/>
      <c r="S10" s="64"/>
      <c r="T10" s="95"/>
    </row>
    <row r="11" spans="1:204" s="29" customFormat="1" ht="21.75" customHeight="1" x14ac:dyDescent="0.2">
      <c r="A11" s="124" t="s">
        <v>8</v>
      </c>
      <c r="B11" s="124"/>
      <c r="C11" s="87"/>
      <c r="D11" s="38">
        <f>D12+D14</f>
        <v>23270000</v>
      </c>
      <c r="E11" s="38"/>
      <c r="F11" s="38">
        <f t="shared" ref="F11:K11" si="1">F12+F14</f>
        <v>7460000</v>
      </c>
      <c r="G11" s="38">
        <f t="shared" si="1"/>
        <v>15810000</v>
      </c>
      <c r="H11" s="38">
        <f>H12+H14</f>
        <v>11014769.120000001</v>
      </c>
      <c r="I11" s="38">
        <f>I12+I14</f>
        <v>6841856.1200000001</v>
      </c>
      <c r="J11" s="38">
        <f>J12+J14</f>
        <v>4172913</v>
      </c>
      <c r="K11" s="38">
        <f t="shared" si="1"/>
        <v>12255230.879999999</v>
      </c>
      <c r="L11" s="41">
        <f>H11/D11</f>
        <v>0.47334633089815215</v>
      </c>
      <c r="M11" s="38">
        <f>M12+M14</f>
        <v>7005422</v>
      </c>
      <c r="N11" s="94">
        <f>M11/D11</f>
        <v>0.30104950580146111</v>
      </c>
      <c r="O11" s="38">
        <f>O12+O14</f>
        <v>15000000</v>
      </c>
      <c r="P11" s="94">
        <f>O11/D11</f>
        <v>0.64460678985818654</v>
      </c>
      <c r="Q11" s="39">
        <f>Q12+Q14</f>
        <v>0</v>
      </c>
      <c r="R11" s="64"/>
      <c r="S11" s="64"/>
      <c r="T11" s="91"/>
    </row>
    <row r="12" spans="1:204" s="29" customFormat="1" ht="20.25" customHeight="1" x14ac:dyDescent="0.2">
      <c r="A12" s="87" t="s">
        <v>9</v>
      </c>
      <c r="B12" s="96" t="s">
        <v>15</v>
      </c>
      <c r="C12" s="87"/>
      <c r="D12" s="92">
        <f>SUM(D13)</f>
        <v>7460000</v>
      </c>
      <c r="E12" s="92"/>
      <c r="F12" s="93">
        <f>SUM(F13)</f>
        <v>7460000</v>
      </c>
      <c r="G12" s="93">
        <f>SUM(G13)</f>
        <v>0</v>
      </c>
      <c r="H12" s="93">
        <f>H13</f>
        <v>5189342.12</v>
      </c>
      <c r="I12" s="93">
        <f>I13</f>
        <v>1016429.12</v>
      </c>
      <c r="J12" s="93">
        <f>J13</f>
        <v>4172913</v>
      </c>
      <c r="K12" s="93">
        <f>D12-H12</f>
        <v>2270657.88</v>
      </c>
      <c r="L12" s="94">
        <f>H12/D12</f>
        <v>0.69562226809651473</v>
      </c>
      <c r="M12" s="93">
        <f>M13</f>
        <v>505422</v>
      </c>
      <c r="N12" s="94">
        <f t="shared" ref="N12:N47" si="2">M12/D12</f>
        <v>6.7750938337801603E-2</v>
      </c>
      <c r="O12" s="93">
        <f>O13</f>
        <v>5000000</v>
      </c>
      <c r="P12" s="94">
        <f t="shared" ref="P12:P41" si="3">O12/D12</f>
        <v>0.67024128686327078</v>
      </c>
      <c r="Q12" s="39">
        <f>Q13</f>
        <v>0</v>
      </c>
      <c r="R12" s="42"/>
      <c r="S12" s="42"/>
      <c r="T12" s="91"/>
    </row>
    <row r="13" spans="1:204" s="60" customFormat="1" ht="75.75" customHeight="1" x14ac:dyDescent="0.2">
      <c r="A13" s="35" t="s">
        <v>28</v>
      </c>
      <c r="B13" s="36" t="s">
        <v>24</v>
      </c>
      <c r="C13" s="37">
        <v>18036000</v>
      </c>
      <c r="D13" s="37">
        <f>F13+G13</f>
        <v>7460000</v>
      </c>
      <c r="E13" s="38">
        <v>150000</v>
      </c>
      <c r="F13" s="39">
        <v>7460000</v>
      </c>
      <c r="G13" s="39"/>
      <c r="H13" s="39">
        <f>I13+J13</f>
        <v>5189342.12</v>
      </c>
      <c r="I13" s="39">
        <f>105422.12+400000+405890+66090+29764+9263</f>
        <v>1016429.12</v>
      </c>
      <c r="J13" s="39">
        <f>33015+96462+813539+861252+2368645</f>
        <v>4172913</v>
      </c>
      <c r="K13" s="39">
        <f>D13-H13</f>
        <v>2270657.88</v>
      </c>
      <c r="L13" s="41">
        <f>H13/D13</f>
        <v>0.69562226809651473</v>
      </c>
      <c r="M13" s="38">
        <v>505422</v>
      </c>
      <c r="N13" s="41">
        <f t="shared" ref="N13:N18" si="4">M13/D13</f>
        <v>6.7750938337801603E-2</v>
      </c>
      <c r="O13" s="38">
        <v>5000000</v>
      </c>
      <c r="P13" s="41">
        <f>O13/D13</f>
        <v>0.67024128686327078</v>
      </c>
      <c r="Q13" s="39"/>
      <c r="R13" s="42" t="s">
        <v>189</v>
      </c>
      <c r="S13" s="42" t="s">
        <v>191</v>
      </c>
    </row>
    <row r="14" spans="1:204" s="29" customFormat="1" ht="20.25" customHeight="1" x14ac:dyDescent="0.2">
      <c r="A14" s="87" t="s">
        <v>17</v>
      </c>
      <c r="B14" s="96" t="s">
        <v>97</v>
      </c>
      <c r="C14" s="92">
        <f>SUM(C15:C16)</f>
        <v>51752000</v>
      </c>
      <c r="D14" s="92">
        <f t="shared" ref="D14:J14" si="5">SUM(D15)</f>
        <v>15810000</v>
      </c>
      <c r="E14" s="93"/>
      <c r="F14" s="93">
        <f t="shared" si="5"/>
        <v>0</v>
      </c>
      <c r="G14" s="93">
        <f t="shared" si="5"/>
        <v>15810000</v>
      </c>
      <c r="H14" s="93">
        <f>SUM(H15)</f>
        <v>5825427</v>
      </c>
      <c r="I14" s="93">
        <f>SUM(I15)</f>
        <v>5825427</v>
      </c>
      <c r="J14" s="93">
        <f t="shared" si="5"/>
        <v>0</v>
      </c>
      <c r="K14" s="93">
        <f>SUM(K15)</f>
        <v>9984573</v>
      </c>
      <c r="L14" s="94">
        <f>SUM(L15)</f>
        <v>0.36846470588235292</v>
      </c>
      <c r="M14" s="93">
        <f>SUM(M15)</f>
        <v>6500000</v>
      </c>
      <c r="N14" s="94">
        <f t="shared" si="4"/>
        <v>0.41113219481340924</v>
      </c>
      <c r="O14" s="93">
        <f>O15</f>
        <v>10000000</v>
      </c>
      <c r="P14" s="94">
        <f>O14/D14</f>
        <v>0.63251106894370657</v>
      </c>
      <c r="Q14" s="39">
        <f>Q15</f>
        <v>0</v>
      </c>
      <c r="R14" s="42"/>
      <c r="S14" s="42"/>
      <c r="T14" s="91"/>
    </row>
    <row r="15" spans="1:204" s="60" customFormat="1" ht="49.5" customHeight="1" x14ac:dyDescent="0.2">
      <c r="A15" s="35">
        <v>1</v>
      </c>
      <c r="B15" s="36" t="s">
        <v>98</v>
      </c>
      <c r="C15" s="37">
        <v>51752000</v>
      </c>
      <c r="D15" s="61">
        <f>F15+G15</f>
        <v>15810000</v>
      </c>
      <c r="E15" s="39">
        <v>46910000</v>
      </c>
      <c r="F15" s="39"/>
      <c r="G15" s="39">
        <v>15810000</v>
      </c>
      <c r="H15" s="39">
        <f>I15+J15</f>
        <v>5825427</v>
      </c>
      <c r="I15" s="39">
        <f>5681199+13860+130368</f>
        <v>5825427</v>
      </c>
      <c r="J15" s="39">
        <v>0</v>
      </c>
      <c r="K15" s="39">
        <f>D15-H15</f>
        <v>9984573</v>
      </c>
      <c r="L15" s="41">
        <f t="shared" ref="L15:L20" si="6">H15/D15</f>
        <v>0.36846470588235292</v>
      </c>
      <c r="M15" s="39">
        <v>6500000</v>
      </c>
      <c r="N15" s="41">
        <f t="shared" si="4"/>
        <v>0.41113219481340924</v>
      </c>
      <c r="O15" s="38">
        <v>10000000</v>
      </c>
      <c r="P15" s="41">
        <f>O15/D15</f>
        <v>0.63251106894370657</v>
      </c>
      <c r="Q15" s="39"/>
      <c r="R15" s="42" t="s">
        <v>132</v>
      </c>
      <c r="S15" s="42" t="s">
        <v>138</v>
      </c>
      <c r="U15" s="62"/>
    </row>
    <row r="16" spans="1:204" s="19" customFormat="1" ht="17.25" customHeight="1" x14ac:dyDescent="0.2">
      <c r="A16" s="117" t="s">
        <v>7</v>
      </c>
      <c r="B16" s="118"/>
      <c r="C16" s="97"/>
      <c r="D16" s="93">
        <f>D17+D35+D38+D40+D70</f>
        <v>127951579.80000001</v>
      </c>
      <c r="E16" s="93"/>
      <c r="F16" s="93">
        <f t="shared" ref="F16:G16" si="7">F17+F35+F38+F40+F70</f>
        <v>98936462.800000012</v>
      </c>
      <c r="G16" s="93">
        <f t="shared" si="7"/>
        <v>29015117</v>
      </c>
      <c r="H16" s="93">
        <f>H17+H35+H38+H40+H70</f>
        <v>54131726.571999997</v>
      </c>
      <c r="I16" s="93">
        <f>I17+I35+I38+I40+I70</f>
        <v>36017599.233999997</v>
      </c>
      <c r="J16" s="93">
        <f>J17+J35+J38+J40+J70</f>
        <v>18114127.338</v>
      </c>
      <c r="K16" s="93">
        <f>K17+K35+K38+K40+K70</f>
        <v>73819853.228</v>
      </c>
      <c r="L16" s="94">
        <f>H16/D16</f>
        <v>0.42306415174093842</v>
      </c>
      <c r="M16" s="93">
        <f>M17+M35+M38+M70+M40</f>
        <v>51750577.399999999</v>
      </c>
      <c r="N16" s="94">
        <f t="shared" si="4"/>
        <v>0.40445438407943746</v>
      </c>
      <c r="O16" s="93">
        <f>O17+O35+O38+O70+O40</f>
        <v>91734511.079999998</v>
      </c>
      <c r="P16" s="94">
        <f t="shared" si="3"/>
        <v>0.71694707656903811</v>
      </c>
      <c r="Q16" s="93">
        <f>Q17+Q35+Q38+Q70+Q40</f>
        <v>2146648</v>
      </c>
      <c r="R16" s="42"/>
      <c r="S16" s="42"/>
      <c r="T16" s="98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</row>
    <row r="17" spans="1:204" s="19" customFormat="1" ht="20.25" customHeight="1" x14ac:dyDescent="0.2">
      <c r="A17" s="87" t="s">
        <v>9</v>
      </c>
      <c r="B17" s="99" t="s">
        <v>33</v>
      </c>
      <c r="C17" s="100"/>
      <c r="D17" s="93">
        <f>SUM(D18:D23)+D24</f>
        <v>13404037.699999999</v>
      </c>
      <c r="E17" s="93"/>
      <c r="F17" s="93">
        <f t="shared" ref="F17:G17" si="8">SUM(F18:F23)+F24</f>
        <v>11535024.699999999</v>
      </c>
      <c r="G17" s="93">
        <f t="shared" si="8"/>
        <v>1869013</v>
      </c>
      <c r="H17" s="93">
        <f>SUM(H18:H23)+H24</f>
        <v>4554167.5720000006</v>
      </c>
      <c r="I17" s="93">
        <f>SUM(I18:I23)+I24</f>
        <v>4522187.2340000002</v>
      </c>
      <c r="J17" s="93">
        <f>SUM(J18:J23)+J24</f>
        <v>31980.338</v>
      </c>
      <c r="K17" s="93">
        <f>SUM(K18:K23)+K24</f>
        <v>8849870.1280000005</v>
      </c>
      <c r="L17" s="94">
        <f>H17/D17</f>
        <v>0.33976087459079596</v>
      </c>
      <c r="M17" s="93">
        <f>SUM(M18:M23)+M24</f>
        <v>3332048</v>
      </c>
      <c r="N17" s="94">
        <f t="shared" si="4"/>
        <v>0.24858539453376799</v>
      </c>
      <c r="O17" s="93">
        <f>SUM(O18:O23)+O24</f>
        <v>10011396</v>
      </c>
      <c r="P17" s="94">
        <f>O17/D17</f>
        <v>0.74689404969369788</v>
      </c>
      <c r="Q17" s="93">
        <f>SUM(Q18:Q23)+Q24</f>
        <v>0</v>
      </c>
      <c r="R17" s="42"/>
      <c r="S17" s="42"/>
      <c r="T17" s="98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</row>
    <row r="18" spans="1:204" s="31" customFormat="1" ht="85.5" customHeight="1" x14ac:dyDescent="0.2">
      <c r="A18" s="35">
        <v>1</v>
      </c>
      <c r="B18" s="36" t="s">
        <v>29</v>
      </c>
      <c r="C18" s="37">
        <v>49500000</v>
      </c>
      <c r="D18" s="37">
        <f t="shared" ref="D18:D23" si="9">F18+G18</f>
        <v>4312000</v>
      </c>
      <c r="E18" s="38">
        <v>42017618.614</v>
      </c>
      <c r="F18" s="39">
        <v>4312000</v>
      </c>
      <c r="G18" s="39"/>
      <c r="H18" s="39">
        <f>I18+J18</f>
        <v>1111788</v>
      </c>
      <c r="I18" s="39">
        <v>1111788</v>
      </c>
      <c r="J18" s="39"/>
      <c r="K18" s="38">
        <f>D18-H18</f>
        <v>3200212</v>
      </c>
      <c r="L18" s="41">
        <f t="shared" si="6"/>
        <v>0.25783580705009279</v>
      </c>
      <c r="M18" s="38">
        <f>100383+1134827</f>
        <v>1235210</v>
      </c>
      <c r="N18" s="41">
        <f t="shared" si="4"/>
        <v>0.286458719851577</v>
      </c>
      <c r="O18" s="38">
        <f>1235210+2000000</f>
        <v>3235210</v>
      </c>
      <c r="P18" s="41">
        <f t="shared" si="3"/>
        <v>0.75028061224489795</v>
      </c>
      <c r="Q18" s="39">
        <v>0</v>
      </c>
      <c r="R18" s="42" t="s">
        <v>135</v>
      </c>
      <c r="S18" s="42" t="s">
        <v>137</v>
      </c>
      <c r="T18" s="44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</row>
    <row r="19" spans="1:204" s="31" customFormat="1" ht="46.5" customHeight="1" x14ac:dyDescent="0.2">
      <c r="A19" s="35">
        <v>2</v>
      </c>
      <c r="B19" s="36" t="s">
        <v>30</v>
      </c>
      <c r="C19" s="37">
        <v>14940000</v>
      </c>
      <c r="D19" s="37">
        <f t="shared" si="9"/>
        <v>1535557</v>
      </c>
      <c r="E19" s="38" t="s">
        <v>170</v>
      </c>
      <c r="F19" s="39">
        <v>1535557</v>
      </c>
      <c r="G19" s="39"/>
      <c r="H19" s="39">
        <f>I19+J19</f>
        <v>1535557</v>
      </c>
      <c r="I19" s="39">
        <v>1535557</v>
      </c>
      <c r="J19" s="39">
        <v>0</v>
      </c>
      <c r="K19" s="38">
        <f>D19-H19</f>
        <v>0</v>
      </c>
      <c r="L19" s="41">
        <f t="shared" si="6"/>
        <v>1</v>
      </c>
      <c r="M19" s="101">
        <f>H19</f>
        <v>1535557</v>
      </c>
      <c r="N19" s="41">
        <f t="shared" si="2"/>
        <v>1</v>
      </c>
      <c r="O19" s="38">
        <v>1535557</v>
      </c>
      <c r="P19" s="102">
        <v>1</v>
      </c>
      <c r="Q19" s="39" t="s">
        <v>171</v>
      </c>
      <c r="R19" s="42" t="s">
        <v>144</v>
      </c>
      <c r="S19" s="42"/>
      <c r="T19" s="44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</row>
    <row r="20" spans="1:204" s="31" customFormat="1" ht="26.25" customHeight="1" x14ac:dyDescent="0.2">
      <c r="A20" s="35">
        <v>3</v>
      </c>
      <c r="B20" s="36" t="s">
        <v>31</v>
      </c>
      <c r="C20" s="37">
        <v>4950000</v>
      </c>
      <c r="D20" s="37">
        <f t="shared" si="9"/>
        <v>1087000</v>
      </c>
      <c r="E20" s="38">
        <v>3743000</v>
      </c>
      <c r="F20" s="39">
        <v>1087000</v>
      </c>
      <c r="G20" s="39"/>
      <c r="H20" s="39">
        <f t="shared" ref="H20:H23" si="10">I20+J20</f>
        <v>0</v>
      </c>
      <c r="I20" s="39">
        <v>0</v>
      </c>
      <c r="J20" s="39"/>
      <c r="K20" s="38">
        <f>D20-H20</f>
        <v>1087000</v>
      </c>
      <c r="L20" s="41">
        <f t="shared" si="6"/>
        <v>0</v>
      </c>
      <c r="M20" s="101">
        <f>H20</f>
        <v>0</v>
      </c>
      <c r="N20" s="41">
        <f t="shared" si="2"/>
        <v>0</v>
      </c>
      <c r="O20" s="38">
        <v>0</v>
      </c>
      <c r="P20" s="41">
        <f t="shared" si="3"/>
        <v>0</v>
      </c>
      <c r="Q20" s="39"/>
      <c r="R20" s="42" t="s">
        <v>136</v>
      </c>
      <c r="S20" s="42" t="s">
        <v>133</v>
      </c>
      <c r="T20" s="44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</row>
    <row r="21" spans="1:204" s="31" customFormat="1" ht="70.5" customHeight="1" x14ac:dyDescent="0.2">
      <c r="A21" s="35">
        <v>4</v>
      </c>
      <c r="B21" s="36" t="s">
        <v>99</v>
      </c>
      <c r="C21" s="37">
        <v>49500000</v>
      </c>
      <c r="D21" s="37">
        <f t="shared" si="9"/>
        <v>1864324</v>
      </c>
      <c r="E21" s="38">
        <v>47079563.096000001</v>
      </c>
      <c r="F21" s="39"/>
      <c r="G21" s="39">
        <f>1849820+14504</f>
        <v>1864324</v>
      </c>
      <c r="H21" s="39">
        <f t="shared" si="10"/>
        <v>0</v>
      </c>
      <c r="I21" s="39"/>
      <c r="J21" s="39"/>
      <c r="K21" s="38">
        <f t="shared" ref="K21:K22" si="11">D21-H21</f>
        <v>1864324</v>
      </c>
      <c r="L21" s="41">
        <f t="shared" ref="L21:L84" si="12">H21/D21</f>
        <v>0</v>
      </c>
      <c r="M21" s="101">
        <v>0</v>
      </c>
      <c r="N21" s="41">
        <f t="shared" si="2"/>
        <v>0</v>
      </c>
      <c r="O21" s="101">
        <v>1100000</v>
      </c>
      <c r="P21" s="41">
        <f t="shared" si="3"/>
        <v>0.59002619716315408</v>
      </c>
      <c r="Q21" s="39"/>
      <c r="R21" s="42" t="s">
        <v>134</v>
      </c>
      <c r="S21" s="42" t="s">
        <v>139</v>
      </c>
      <c r="T21" s="44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</row>
    <row r="22" spans="1:204" s="13" customFormat="1" ht="17.25" customHeight="1" x14ac:dyDescent="0.2">
      <c r="A22" s="35">
        <v>5</v>
      </c>
      <c r="B22" s="36" t="s">
        <v>32</v>
      </c>
      <c r="C22" s="37">
        <v>4800000</v>
      </c>
      <c r="D22" s="37">
        <f t="shared" si="9"/>
        <v>558940</v>
      </c>
      <c r="E22" s="38"/>
      <c r="F22" s="39">
        <v>558940</v>
      </c>
      <c r="G22" s="40"/>
      <c r="H22" s="39">
        <f t="shared" si="10"/>
        <v>558940</v>
      </c>
      <c r="I22" s="39">
        <v>558940</v>
      </c>
      <c r="J22" s="40"/>
      <c r="K22" s="38">
        <f t="shared" si="11"/>
        <v>0</v>
      </c>
      <c r="L22" s="41">
        <f>H22/D22</f>
        <v>1</v>
      </c>
      <c r="M22" s="101">
        <f>H22</f>
        <v>558940</v>
      </c>
      <c r="N22" s="41">
        <f>M22/D22</f>
        <v>1</v>
      </c>
      <c r="O22" s="38">
        <v>558940</v>
      </c>
      <c r="P22" s="41">
        <v>1</v>
      </c>
      <c r="Q22" s="39" t="s">
        <v>171</v>
      </c>
      <c r="R22" s="42" t="s">
        <v>167</v>
      </c>
      <c r="S22" s="42"/>
      <c r="T22" s="45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</row>
    <row r="23" spans="1:204" s="13" customFormat="1" ht="28.5" customHeight="1" x14ac:dyDescent="0.2">
      <c r="A23" s="35">
        <v>6</v>
      </c>
      <c r="B23" s="36" t="s">
        <v>105</v>
      </c>
      <c r="C23" s="37"/>
      <c r="D23" s="37">
        <f t="shared" si="9"/>
        <v>114527.7</v>
      </c>
      <c r="E23" s="38"/>
      <c r="F23" s="39">
        <v>114527.7</v>
      </c>
      <c r="G23" s="40"/>
      <c r="H23" s="39">
        <f t="shared" si="10"/>
        <v>0</v>
      </c>
      <c r="I23" s="39">
        <v>0</v>
      </c>
      <c r="J23" s="40"/>
      <c r="K23" s="38">
        <f>D23-H23</f>
        <v>114527.7</v>
      </c>
      <c r="L23" s="41">
        <f>H23/D23</f>
        <v>0</v>
      </c>
      <c r="M23" s="101">
        <v>0</v>
      </c>
      <c r="N23" s="41">
        <f>M23/D23</f>
        <v>0</v>
      </c>
      <c r="O23" s="38">
        <v>0</v>
      </c>
      <c r="P23" s="41">
        <f t="shared" si="3"/>
        <v>0</v>
      </c>
      <c r="Q23" s="39"/>
      <c r="R23" s="42"/>
      <c r="S23" s="42"/>
      <c r="T23" s="45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</row>
    <row r="24" spans="1:204" s="19" customFormat="1" ht="17.25" customHeight="1" x14ac:dyDescent="0.2">
      <c r="A24" s="87">
        <v>1</v>
      </c>
      <c r="B24" s="96" t="s">
        <v>96</v>
      </c>
      <c r="C24" s="37"/>
      <c r="D24" s="93">
        <f>SUM(D25:D34)</f>
        <v>3931689</v>
      </c>
      <c r="E24" s="93">
        <f t="shared" ref="E24" si="13">SUM(E25:E34)</f>
        <v>0</v>
      </c>
      <c r="F24" s="93">
        <f t="shared" ref="F24:G24" si="14">SUM(F25:F34)</f>
        <v>3927000</v>
      </c>
      <c r="G24" s="93">
        <f t="shared" si="14"/>
        <v>4689</v>
      </c>
      <c r="H24" s="93">
        <f>SUM(H25:H34)</f>
        <v>1347882.5720000002</v>
      </c>
      <c r="I24" s="93">
        <f>SUM(I25:I34)</f>
        <v>1315902.2340000002</v>
      </c>
      <c r="J24" s="93">
        <f>SUM(J25:J34)</f>
        <v>31980.338</v>
      </c>
      <c r="K24" s="93">
        <f>SUM(K25:K34)</f>
        <v>2583806.4279999998</v>
      </c>
      <c r="L24" s="94">
        <f>H24/D24</f>
        <v>0.34282532824951317</v>
      </c>
      <c r="M24" s="103">
        <f>SUM(M25:M34)</f>
        <v>2341</v>
      </c>
      <c r="N24" s="94">
        <f t="shared" si="2"/>
        <v>5.9541840669493447E-4</v>
      </c>
      <c r="O24" s="103">
        <f>SUM(O25:O34)</f>
        <v>3581689</v>
      </c>
      <c r="P24" s="94">
        <f>O24/D24</f>
        <v>0.91097973415496492</v>
      </c>
      <c r="Q24" s="103">
        <f>SUM(Q25:Q34)</f>
        <v>0</v>
      </c>
      <c r="R24" s="42"/>
      <c r="S24" s="42"/>
      <c r="T24" s="98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</row>
    <row r="25" spans="1:204" s="13" customFormat="1" ht="17.25" customHeight="1" x14ac:dyDescent="0.2">
      <c r="A25" s="35" t="s">
        <v>28</v>
      </c>
      <c r="B25" s="36" t="s">
        <v>81</v>
      </c>
      <c r="C25" s="37"/>
      <c r="D25" s="37">
        <f t="shared" ref="D25:D34" si="15">F25+G25</f>
        <v>3682</v>
      </c>
      <c r="E25" s="38"/>
      <c r="F25" s="39"/>
      <c r="G25" s="39">
        <v>3682</v>
      </c>
      <c r="H25" s="39">
        <f t="shared" ref="H25:H34" si="16">I25+J25</f>
        <v>3682</v>
      </c>
      <c r="I25" s="39">
        <v>3682</v>
      </c>
      <c r="J25" s="39">
        <v>0</v>
      </c>
      <c r="K25" s="38">
        <f t="shared" ref="K25:K65" si="17">D25-H25</f>
        <v>0</v>
      </c>
      <c r="L25" s="41">
        <f t="shared" si="12"/>
        <v>1</v>
      </c>
      <c r="M25" s="38">
        <v>0</v>
      </c>
      <c r="N25" s="41">
        <f>M25/D25</f>
        <v>0</v>
      </c>
      <c r="O25" s="38">
        <v>3682</v>
      </c>
      <c r="P25" s="41">
        <v>1</v>
      </c>
      <c r="Q25" s="39" t="s">
        <v>171</v>
      </c>
      <c r="R25" s="42"/>
      <c r="S25" s="42"/>
      <c r="T25" s="45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20"/>
    </row>
    <row r="26" spans="1:204" s="13" customFormat="1" ht="17.25" customHeight="1" x14ac:dyDescent="0.2">
      <c r="A26" s="35" t="s">
        <v>84</v>
      </c>
      <c r="B26" s="36" t="s">
        <v>82</v>
      </c>
      <c r="C26" s="37"/>
      <c r="D26" s="37">
        <f t="shared" si="15"/>
        <v>542</v>
      </c>
      <c r="E26" s="38"/>
      <c r="F26" s="39"/>
      <c r="G26" s="39">
        <v>542</v>
      </c>
      <c r="H26" s="39">
        <f t="shared" si="16"/>
        <v>542</v>
      </c>
      <c r="I26" s="39">
        <v>542</v>
      </c>
      <c r="J26" s="39"/>
      <c r="K26" s="38">
        <f t="shared" si="17"/>
        <v>0</v>
      </c>
      <c r="L26" s="41">
        <f t="shared" si="12"/>
        <v>1</v>
      </c>
      <c r="M26" s="38">
        <f>H26+1334</f>
        <v>1876</v>
      </c>
      <c r="N26" s="41">
        <f t="shared" si="2"/>
        <v>3.4612546125461257</v>
      </c>
      <c r="O26" s="38">
        <v>542</v>
      </c>
      <c r="P26" s="41">
        <f t="shared" si="3"/>
        <v>1</v>
      </c>
      <c r="Q26" s="39" t="s">
        <v>171</v>
      </c>
      <c r="R26" s="42"/>
      <c r="S26" s="42"/>
      <c r="T26" s="45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20"/>
    </row>
    <row r="27" spans="1:204" s="13" customFormat="1" ht="17.25" customHeight="1" x14ac:dyDescent="0.2">
      <c r="A27" s="35" t="s">
        <v>85</v>
      </c>
      <c r="B27" s="36" t="s">
        <v>83</v>
      </c>
      <c r="C27" s="37"/>
      <c r="D27" s="37">
        <f t="shared" si="15"/>
        <v>465</v>
      </c>
      <c r="E27" s="38"/>
      <c r="F27" s="39"/>
      <c r="G27" s="39">
        <v>465</v>
      </c>
      <c r="H27" s="39">
        <f t="shared" si="16"/>
        <v>465</v>
      </c>
      <c r="I27" s="39">
        <v>465</v>
      </c>
      <c r="J27" s="39"/>
      <c r="K27" s="38">
        <f t="shared" si="17"/>
        <v>0</v>
      </c>
      <c r="L27" s="41">
        <f t="shared" si="12"/>
        <v>1</v>
      </c>
      <c r="M27" s="38">
        <f>D27</f>
        <v>465</v>
      </c>
      <c r="N27" s="41">
        <f t="shared" si="2"/>
        <v>1</v>
      </c>
      <c r="O27" s="38">
        <f>M27</f>
        <v>465</v>
      </c>
      <c r="P27" s="41">
        <f t="shared" si="3"/>
        <v>1</v>
      </c>
      <c r="Q27" s="39" t="s">
        <v>171</v>
      </c>
      <c r="R27" s="42"/>
      <c r="S27" s="42"/>
      <c r="T27" s="45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20"/>
    </row>
    <row r="28" spans="1:204" s="13" customFormat="1" ht="27.75" customHeight="1" x14ac:dyDescent="0.2">
      <c r="A28" s="35" t="s">
        <v>86</v>
      </c>
      <c r="B28" s="36" t="s">
        <v>176</v>
      </c>
      <c r="C28" s="37"/>
      <c r="D28" s="37">
        <f t="shared" si="15"/>
        <v>89000</v>
      </c>
      <c r="E28" s="38"/>
      <c r="F28" s="39">
        <v>89000</v>
      </c>
      <c r="G28" s="39"/>
      <c r="H28" s="39">
        <f t="shared" si="16"/>
        <v>0</v>
      </c>
      <c r="I28" s="39"/>
      <c r="J28" s="39"/>
      <c r="K28" s="38">
        <f t="shared" ref="K28:K36" si="18">D28-H28</f>
        <v>89000</v>
      </c>
      <c r="L28" s="41">
        <f t="shared" si="12"/>
        <v>0</v>
      </c>
      <c r="M28" s="38"/>
      <c r="N28" s="41"/>
      <c r="O28" s="38">
        <v>89000</v>
      </c>
      <c r="P28" s="41">
        <f t="shared" si="3"/>
        <v>1</v>
      </c>
      <c r="Q28" s="39"/>
      <c r="R28" s="42"/>
      <c r="S28" s="42"/>
      <c r="T28" s="45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20"/>
    </row>
    <row r="29" spans="1:204" s="13" customFormat="1" ht="31.5" customHeight="1" x14ac:dyDescent="0.2">
      <c r="A29" s="35" t="s">
        <v>87</v>
      </c>
      <c r="B29" s="36" t="s">
        <v>175</v>
      </c>
      <c r="C29" s="37"/>
      <c r="D29" s="37">
        <f t="shared" si="15"/>
        <v>95000</v>
      </c>
      <c r="E29" s="38"/>
      <c r="F29" s="39">
        <v>95000</v>
      </c>
      <c r="G29" s="39"/>
      <c r="H29" s="39">
        <f t="shared" si="16"/>
        <v>0</v>
      </c>
      <c r="I29" s="39"/>
      <c r="J29" s="39"/>
      <c r="K29" s="38">
        <f t="shared" si="18"/>
        <v>95000</v>
      </c>
      <c r="L29" s="41">
        <f>H29/D29</f>
        <v>0</v>
      </c>
      <c r="M29" s="38">
        <f>G29</f>
        <v>0</v>
      </c>
      <c r="N29" s="41">
        <f t="shared" si="2"/>
        <v>0</v>
      </c>
      <c r="O29" s="38">
        <v>95000</v>
      </c>
      <c r="P29" s="41">
        <f t="shared" si="3"/>
        <v>1</v>
      </c>
      <c r="Q29" s="39"/>
      <c r="R29" s="42"/>
      <c r="S29" s="42"/>
      <c r="T29" s="45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20"/>
    </row>
    <row r="30" spans="1:204" s="13" customFormat="1" ht="40.5" customHeight="1" x14ac:dyDescent="0.2">
      <c r="A30" s="35" t="s">
        <v>88</v>
      </c>
      <c r="B30" s="36" t="s">
        <v>174</v>
      </c>
      <c r="C30" s="37"/>
      <c r="D30" s="37">
        <f t="shared" si="15"/>
        <v>243000</v>
      </c>
      <c r="E30" s="38"/>
      <c r="F30" s="39">
        <v>243000</v>
      </c>
      <c r="G30" s="39"/>
      <c r="H30" s="39">
        <f t="shared" si="16"/>
        <v>0</v>
      </c>
      <c r="I30" s="39"/>
      <c r="J30" s="39"/>
      <c r="K30" s="38">
        <f t="shared" si="18"/>
        <v>243000</v>
      </c>
      <c r="L30" s="41">
        <f>H30/D30</f>
        <v>0</v>
      </c>
      <c r="M30" s="38">
        <f>G30</f>
        <v>0</v>
      </c>
      <c r="N30" s="41">
        <f>M30/D30</f>
        <v>0</v>
      </c>
      <c r="O30" s="38">
        <v>243000</v>
      </c>
      <c r="P30" s="41">
        <f t="shared" si="3"/>
        <v>1</v>
      </c>
      <c r="Q30" s="39"/>
      <c r="R30" s="42"/>
      <c r="S30" s="42"/>
      <c r="T30" s="45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20"/>
    </row>
    <row r="31" spans="1:204" s="13" customFormat="1" ht="37.5" customHeight="1" x14ac:dyDescent="0.2">
      <c r="A31" s="35" t="s">
        <v>89</v>
      </c>
      <c r="B31" s="36" t="s">
        <v>102</v>
      </c>
      <c r="C31" s="37">
        <v>1000000</v>
      </c>
      <c r="D31" s="37">
        <f t="shared" si="15"/>
        <v>1000000</v>
      </c>
      <c r="E31" s="38"/>
      <c r="F31" s="39">
        <v>1000000</v>
      </c>
      <c r="G31" s="39">
        <v>0</v>
      </c>
      <c r="H31" s="39">
        <f t="shared" si="16"/>
        <v>94622.574999999997</v>
      </c>
      <c r="I31" s="39">
        <f>4320+58322.237</f>
        <v>62642.237000000001</v>
      </c>
      <c r="J31" s="39">
        <v>31980.338</v>
      </c>
      <c r="K31" s="38">
        <f t="shared" si="18"/>
        <v>905377.42500000005</v>
      </c>
      <c r="L31" s="41">
        <f>H31/D31</f>
        <v>9.4622575E-2</v>
      </c>
      <c r="M31" s="38">
        <v>0</v>
      </c>
      <c r="N31" s="41">
        <f>M31/D31</f>
        <v>0</v>
      </c>
      <c r="O31" s="38">
        <f>D31*90%</f>
        <v>900000</v>
      </c>
      <c r="P31" s="41">
        <f t="shared" si="3"/>
        <v>0.9</v>
      </c>
      <c r="Q31" s="39"/>
      <c r="R31" s="42" t="s">
        <v>192</v>
      </c>
      <c r="S31" s="42" t="s">
        <v>193</v>
      </c>
      <c r="T31" s="45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20"/>
    </row>
    <row r="32" spans="1:204" s="66" customFormat="1" ht="26.25" customHeight="1" x14ac:dyDescent="0.2">
      <c r="A32" s="35" t="s">
        <v>90</v>
      </c>
      <c r="B32" s="36" t="s">
        <v>82</v>
      </c>
      <c r="C32" s="37">
        <f>D32+F32</f>
        <v>2200000</v>
      </c>
      <c r="D32" s="37">
        <f t="shared" si="15"/>
        <v>1100000</v>
      </c>
      <c r="E32" s="38"/>
      <c r="F32" s="39">
        <v>1100000</v>
      </c>
      <c r="G32" s="39">
        <v>0</v>
      </c>
      <c r="H32" s="39">
        <f>I32+J32</f>
        <v>1073055.003</v>
      </c>
      <c r="I32" s="39">
        <f>71074.419+4320+926990.527+35040.245+35629.812</f>
        <v>1073055.003</v>
      </c>
      <c r="J32" s="39"/>
      <c r="K32" s="38">
        <f t="shared" si="18"/>
        <v>26944.996999999974</v>
      </c>
      <c r="L32" s="41">
        <f>H32/D32</f>
        <v>0.9755045481818182</v>
      </c>
      <c r="M32" s="38">
        <v>0</v>
      </c>
      <c r="N32" s="41">
        <f>M32/D32</f>
        <v>0</v>
      </c>
      <c r="O32" s="38">
        <f>D32*90%</f>
        <v>990000</v>
      </c>
      <c r="P32" s="41">
        <f>O32/D32</f>
        <v>0.9</v>
      </c>
      <c r="Q32" s="39"/>
      <c r="R32" s="42" t="s">
        <v>194</v>
      </c>
      <c r="S32" s="42" t="s">
        <v>193</v>
      </c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65"/>
    </row>
    <row r="33" spans="1:204" s="13" customFormat="1" ht="28.5" customHeight="1" x14ac:dyDescent="0.2">
      <c r="A33" s="35" t="s">
        <v>100</v>
      </c>
      <c r="B33" s="36" t="s">
        <v>103</v>
      </c>
      <c r="C33" s="37">
        <f>D33+F33</f>
        <v>1900000</v>
      </c>
      <c r="D33" s="37">
        <f t="shared" si="15"/>
        <v>950000</v>
      </c>
      <c r="E33" s="38"/>
      <c r="F33" s="39">
        <v>950000</v>
      </c>
      <c r="G33" s="39">
        <v>0</v>
      </c>
      <c r="H33" s="39">
        <f t="shared" si="16"/>
        <v>125914.39099999999</v>
      </c>
      <c r="I33" s="39">
        <f>92421.112+4320+29173.279</f>
        <v>125914.39099999999</v>
      </c>
      <c r="J33" s="39"/>
      <c r="K33" s="38">
        <f t="shared" si="18"/>
        <v>824085.60900000005</v>
      </c>
      <c r="L33" s="41">
        <f t="shared" ref="L33:L35" si="19">H33/D33</f>
        <v>0.13254146421052632</v>
      </c>
      <c r="M33" s="38">
        <v>0</v>
      </c>
      <c r="N33" s="41">
        <f>M33/D33</f>
        <v>0</v>
      </c>
      <c r="O33" s="38">
        <f>D33*90%</f>
        <v>855000</v>
      </c>
      <c r="P33" s="41">
        <f t="shared" si="3"/>
        <v>0.9</v>
      </c>
      <c r="Q33" s="39"/>
      <c r="R33" s="42" t="s">
        <v>122</v>
      </c>
      <c r="S33" s="42" t="s">
        <v>193</v>
      </c>
      <c r="T33" s="45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20"/>
    </row>
    <row r="34" spans="1:204" s="13" customFormat="1" ht="27.75" customHeight="1" x14ac:dyDescent="0.2">
      <c r="A34" s="35" t="s">
        <v>101</v>
      </c>
      <c r="B34" s="36" t="s">
        <v>104</v>
      </c>
      <c r="C34" s="37">
        <f>D34+F34</f>
        <v>900000</v>
      </c>
      <c r="D34" s="37">
        <f t="shared" si="15"/>
        <v>450000</v>
      </c>
      <c r="E34" s="38"/>
      <c r="F34" s="39">
        <v>450000</v>
      </c>
      <c r="G34" s="39">
        <v>0</v>
      </c>
      <c r="H34" s="39">
        <f t="shared" si="16"/>
        <v>49601.603000000003</v>
      </c>
      <c r="I34" s="39">
        <f>31106.299+4320+14175.304</f>
        <v>49601.603000000003</v>
      </c>
      <c r="J34" s="39"/>
      <c r="K34" s="38">
        <f t="shared" si="18"/>
        <v>400398.397</v>
      </c>
      <c r="L34" s="41">
        <f t="shared" si="19"/>
        <v>0.11022578444444445</v>
      </c>
      <c r="M34" s="38">
        <v>0</v>
      </c>
      <c r="N34" s="41">
        <f>M34/D34</f>
        <v>0</v>
      </c>
      <c r="O34" s="38">
        <f>D34*90%</f>
        <v>405000</v>
      </c>
      <c r="P34" s="41">
        <f t="shared" si="3"/>
        <v>0.9</v>
      </c>
      <c r="Q34" s="39"/>
      <c r="R34" s="42" t="s">
        <v>195</v>
      </c>
      <c r="S34" s="42" t="s">
        <v>193</v>
      </c>
      <c r="T34" s="45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20"/>
    </row>
    <row r="35" spans="1:204" s="19" customFormat="1" ht="20.25" customHeight="1" x14ac:dyDescent="0.2">
      <c r="A35" s="87" t="s">
        <v>17</v>
      </c>
      <c r="B35" s="99" t="s">
        <v>34</v>
      </c>
      <c r="C35" s="100"/>
      <c r="D35" s="93">
        <f t="shared" ref="D35:J35" si="20">SUM(D36:D37)</f>
        <v>2780000</v>
      </c>
      <c r="E35" s="93"/>
      <c r="F35" s="93">
        <f t="shared" si="20"/>
        <v>2780000</v>
      </c>
      <c r="G35" s="93">
        <f t="shared" si="20"/>
        <v>0</v>
      </c>
      <c r="H35" s="93">
        <f>SUM(H36:H37)</f>
        <v>2780000</v>
      </c>
      <c r="I35" s="93">
        <f>SUM(I36:I37)</f>
        <v>2780000</v>
      </c>
      <c r="J35" s="93">
        <f t="shared" si="20"/>
        <v>0</v>
      </c>
      <c r="K35" s="93">
        <f t="shared" si="18"/>
        <v>0</v>
      </c>
      <c r="L35" s="94">
        <f t="shared" si="19"/>
        <v>1</v>
      </c>
      <c r="M35" s="93">
        <f>M36+M37</f>
        <v>2780000</v>
      </c>
      <c r="N35" s="94">
        <f t="shared" si="2"/>
        <v>1</v>
      </c>
      <c r="O35" s="93">
        <f>O36+O37</f>
        <v>2780000</v>
      </c>
      <c r="P35" s="94">
        <f t="shared" si="3"/>
        <v>1</v>
      </c>
      <c r="Q35" s="93">
        <v>0</v>
      </c>
      <c r="R35" s="64"/>
      <c r="S35" s="64"/>
      <c r="T35" s="98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</row>
    <row r="36" spans="1:204" s="13" customFormat="1" ht="17.25" customHeight="1" x14ac:dyDescent="0.2">
      <c r="A36" s="35">
        <v>1</v>
      </c>
      <c r="B36" s="36" t="s">
        <v>10</v>
      </c>
      <c r="C36" s="37">
        <v>4500000</v>
      </c>
      <c r="D36" s="37">
        <f>F36+G36</f>
        <v>1597000</v>
      </c>
      <c r="E36" s="38" t="s">
        <v>170</v>
      </c>
      <c r="F36" s="39">
        <v>1597000</v>
      </c>
      <c r="G36" s="40"/>
      <c r="H36" s="39">
        <f>I36+J36</f>
        <v>1597000</v>
      </c>
      <c r="I36" s="39">
        <v>1597000</v>
      </c>
      <c r="J36" s="39">
        <v>0</v>
      </c>
      <c r="K36" s="38">
        <f t="shared" si="18"/>
        <v>0</v>
      </c>
      <c r="L36" s="102">
        <f t="shared" si="12"/>
        <v>1</v>
      </c>
      <c r="M36" s="59">
        <f>H36</f>
        <v>1597000</v>
      </c>
      <c r="N36" s="102">
        <f t="shared" si="2"/>
        <v>1</v>
      </c>
      <c r="O36" s="59">
        <v>1597000</v>
      </c>
      <c r="P36" s="102">
        <v>1</v>
      </c>
      <c r="Q36" s="39" t="s">
        <v>171</v>
      </c>
      <c r="R36" s="42"/>
      <c r="S36" s="42"/>
      <c r="T36" s="45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</row>
    <row r="37" spans="1:204" s="13" customFormat="1" ht="17.25" customHeight="1" x14ac:dyDescent="0.2">
      <c r="A37" s="35">
        <v>2</v>
      </c>
      <c r="B37" s="36" t="s">
        <v>32</v>
      </c>
      <c r="C37" s="37">
        <v>4800000</v>
      </c>
      <c r="D37" s="37">
        <f>F37+G37</f>
        <v>1183000</v>
      </c>
      <c r="E37" s="38" t="s">
        <v>170</v>
      </c>
      <c r="F37" s="39">
        <v>1183000</v>
      </c>
      <c r="G37" s="40"/>
      <c r="H37" s="39">
        <f>I37+J37</f>
        <v>1183000</v>
      </c>
      <c r="I37" s="39">
        <v>1183000</v>
      </c>
      <c r="J37" s="39"/>
      <c r="K37" s="38">
        <f t="shared" si="17"/>
        <v>0</v>
      </c>
      <c r="L37" s="102">
        <f t="shared" si="12"/>
        <v>1</v>
      </c>
      <c r="M37" s="59">
        <f>H37</f>
        <v>1183000</v>
      </c>
      <c r="N37" s="102">
        <f t="shared" si="2"/>
        <v>1</v>
      </c>
      <c r="O37" s="59">
        <v>1183000</v>
      </c>
      <c r="P37" s="102">
        <v>1</v>
      </c>
      <c r="Q37" s="39" t="s">
        <v>171</v>
      </c>
      <c r="R37" s="42"/>
      <c r="S37" s="42"/>
      <c r="T37" s="45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</row>
    <row r="38" spans="1:204" s="19" customFormat="1" ht="20.25" customHeight="1" x14ac:dyDescent="0.2">
      <c r="A38" s="87" t="s">
        <v>18</v>
      </c>
      <c r="B38" s="99" t="s">
        <v>36</v>
      </c>
      <c r="C38" s="100">
        <f>C39</f>
        <v>2000000</v>
      </c>
      <c r="D38" s="93">
        <f t="shared" ref="D38:J38" si="21">D39</f>
        <v>810000</v>
      </c>
      <c r="E38" s="93"/>
      <c r="F38" s="93">
        <f t="shared" si="21"/>
        <v>810000</v>
      </c>
      <c r="G38" s="93">
        <f t="shared" si="21"/>
        <v>0</v>
      </c>
      <c r="H38" s="93">
        <f t="shared" si="21"/>
        <v>0</v>
      </c>
      <c r="I38" s="93">
        <f t="shared" si="21"/>
        <v>0</v>
      </c>
      <c r="J38" s="93">
        <f t="shared" si="21"/>
        <v>0</v>
      </c>
      <c r="K38" s="93">
        <f t="shared" si="17"/>
        <v>810000</v>
      </c>
      <c r="L38" s="94">
        <f t="shared" si="12"/>
        <v>0</v>
      </c>
      <c r="M38" s="93">
        <f>M39</f>
        <v>0</v>
      </c>
      <c r="N38" s="94">
        <f>M38/D38</f>
        <v>0</v>
      </c>
      <c r="O38" s="93">
        <f>O39</f>
        <v>810000</v>
      </c>
      <c r="P38" s="94">
        <f t="shared" si="3"/>
        <v>1</v>
      </c>
      <c r="Q38" s="93">
        <f>Q39</f>
        <v>0</v>
      </c>
      <c r="R38" s="64"/>
      <c r="S38" s="64"/>
      <c r="T38" s="98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</row>
    <row r="39" spans="1:204" s="13" customFormat="1" ht="33.75" customHeight="1" x14ac:dyDescent="0.2">
      <c r="A39" s="35">
        <v>1</v>
      </c>
      <c r="B39" s="36" t="s">
        <v>35</v>
      </c>
      <c r="C39" s="37">
        <v>2000000</v>
      </c>
      <c r="D39" s="37">
        <f>F39+G39</f>
        <v>810000</v>
      </c>
      <c r="E39" s="38">
        <v>0</v>
      </c>
      <c r="F39" s="39">
        <v>810000</v>
      </c>
      <c r="G39" s="39"/>
      <c r="H39" s="39">
        <v>0</v>
      </c>
      <c r="I39" s="39">
        <v>0</v>
      </c>
      <c r="J39" s="40"/>
      <c r="K39" s="38">
        <f t="shared" si="17"/>
        <v>810000</v>
      </c>
      <c r="L39" s="41">
        <f t="shared" si="12"/>
        <v>0</v>
      </c>
      <c r="M39" s="40">
        <v>0</v>
      </c>
      <c r="N39" s="41">
        <f>M39/C39</f>
        <v>0</v>
      </c>
      <c r="O39" s="59">
        <f>K39</f>
        <v>810000</v>
      </c>
      <c r="P39" s="41">
        <f t="shared" si="3"/>
        <v>1</v>
      </c>
      <c r="Q39" s="39"/>
      <c r="R39" s="42" t="s">
        <v>145</v>
      </c>
      <c r="S39" s="42" t="s">
        <v>145</v>
      </c>
      <c r="T39" s="45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</row>
    <row r="40" spans="1:204" s="26" customFormat="1" ht="26.25" customHeight="1" x14ac:dyDescent="0.2">
      <c r="A40" s="87" t="s">
        <v>18</v>
      </c>
      <c r="B40" s="104" t="s">
        <v>188</v>
      </c>
      <c r="C40" s="105"/>
      <c r="D40" s="92">
        <f>SUM(D41:D69)</f>
        <v>54081176</v>
      </c>
      <c r="E40" s="93"/>
      <c r="F40" s="93">
        <f>SUM(F41:F69)</f>
        <v>37468000</v>
      </c>
      <c r="G40" s="93">
        <f>SUM(G41:G69)</f>
        <v>16613176</v>
      </c>
      <c r="H40" s="93">
        <f>SUM(H41:H69)</f>
        <v>19555052</v>
      </c>
      <c r="I40" s="93">
        <f>SUM(I41:I69)</f>
        <v>14172738</v>
      </c>
      <c r="J40" s="93">
        <f>SUM(J41:J69)</f>
        <v>5382314</v>
      </c>
      <c r="K40" s="93">
        <f>D40-H40</f>
        <v>34526124</v>
      </c>
      <c r="L40" s="94">
        <f>H40/D40</f>
        <v>0.36158703353640093</v>
      </c>
      <c r="M40" s="93">
        <f>SUM(M41:M69)</f>
        <v>16559576.4</v>
      </c>
      <c r="N40" s="94">
        <f t="shared" si="2"/>
        <v>0.3061985264521615</v>
      </c>
      <c r="O40" s="93">
        <f>SUM(O41:O69)</f>
        <v>32741685.600000001</v>
      </c>
      <c r="P40" s="94">
        <f>O40/D40</f>
        <v>0.6054174117811344</v>
      </c>
      <c r="Q40" s="93">
        <f>SUM(Q41:Q69)</f>
        <v>1039704</v>
      </c>
      <c r="R40" s="64"/>
      <c r="S40" s="64"/>
      <c r="T40" s="106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</row>
    <row r="41" spans="1:204" s="45" customFormat="1" ht="36" customHeight="1" x14ac:dyDescent="0.2">
      <c r="A41" s="35">
        <v>1</v>
      </c>
      <c r="B41" s="36" t="s">
        <v>37</v>
      </c>
      <c r="C41" s="37">
        <v>4389000</v>
      </c>
      <c r="D41" s="37">
        <f>F41+G41</f>
        <v>2739790</v>
      </c>
      <c r="E41" s="38">
        <v>2240000</v>
      </c>
      <c r="F41" s="39">
        <v>1750000</v>
      </c>
      <c r="G41" s="59">
        <v>989790</v>
      </c>
      <c r="H41" s="39">
        <f t="shared" ref="H41:H49" si="22">I41+J41</f>
        <v>972525</v>
      </c>
      <c r="I41" s="39">
        <f>38668+904258+2499+13850+13250</f>
        <v>972525</v>
      </c>
      <c r="J41" s="39">
        <v>0</v>
      </c>
      <c r="K41" s="38">
        <f t="shared" si="17"/>
        <v>1767265</v>
      </c>
      <c r="L41" s="41">
        <f t="shared" si="12"/>
        <v>0.35496333660609025</v>
      </c>
      <c r="M41" s="39">
        <f>904259+38668+2499</f>
        <v>945426</v>
      </c>
      <c r="N41" s="41">
        <f t="shared" si="2"/>
        <v>0.34507243255869974</v>
      </c>
      <c r="O41" s="39">
        <f>D41*80%</f>
        <v>2191832</v>
      </c>
      <c r="P41" s="41">
        <f t="shared" si="3"/>
        <v>0.8</v>
      </c>
      <c r="Q41" s="39"/>
      <c r="R41" s="42" t="s">
        <v>111</v>
      </c>
      <c r="S41" s="42" t="s">
        <v>131</v>
      </c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4"/>
      <c r="AU41" s="44"/>
    </row>
    <row r="42" spans="1:204" s="58" customFormat="1" ht="26.25" customHeight="1" x14ac:dyDescent="0.2">
      <c r="A42" s="35">
        <v>2</v>
      </c>
      <c r="B42" s="36" t="s">
        <v>38</v>
      </c>
      <c r="C42" s="37">
        <v>9500000</v>
      </c>
      <c r="D42" s="37">
        <f>F42+G42</f>
        <v>6144579</v>
      </c>
      <c r="E42" s="38">
        <v>1460000</v>
      </c>
      <c r="F42" s="39">
        <v>4962000</v>
      </c>
      <c r="G42" s="59">
        <v>1182579</v>
      </c>
      <c r="H42" s="39">
        <f t="shared" si="22"/>
        <v>0</v>
      </c>
      <c r="I42" s="39">
        <v>0</v>
      </c>
      <c r="J42" s="39">
        <v>0</v>
      </c>
      <c r="K42" s="38">
        <f t="shared" si="17"/>
        <v>6144579</v>
      </c>
      <c r="L42" s="41">
        <f>H42/D42</f>
        <v>0</v>
      </c>
      <c r="M42" s="39">
        <f>I42</f>
        <v>0</v>
      </c>
      <c r="N42" s="41">
        <f t="shared" si="2"/>
        <v>0</v>
      </c>
      <c r="O42" s="39">
        <v>2000000</v>
      </c>
      <c r="P42" s="41">
        <f t="shared" ref="P42:P67" si="23">O42/D42</f>
        <v>0.32549015970011941</v>
      </c>
      <c r="Q42" s="39"/>
      <c r="R42" s="42"/>
      <c r="S42" s="42"/>
      <c r="T42" s="43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7"/>
      <c r="AU42" s="57"/>
    </row>
    <row r="43" spans="1:204" s="12" customFormat="1" ht="26.25" customHeight="1" x14ac:dyDescent="0.2">
      <c r="A43" s="35">
        <v>3</v>
      </c>
      <c r="B43" s="36" t="s">
        <v>20</v>
      </c>
      <c r="C43" s="37">
        <v>1430000</v>
      </c>
      <c r="D43" s="37">
        <f>F43+G43</f>
        <v>636443</v>
      </c>
      <c r="E43" s="38">
        <v>1100000</v>
      </c>
      <c r="F43" s="39">
        <v>200000</v>
      </c>
      <c r="G43" s="59">
        <v>436443</v>
      </c>
      <c r="H43" s="39">
        <f t="shared" si="22"/>
        <v>445290</v>
      </c>
      <c r="I43" s="39">
        <f>8847+436443</f>
        <v>445290</v>
      </c>
      <c r="J43" s="39">
        <v>0</v>
      </c>
      <c r="K43" s="38">
        <f t="shared" si="17"/>
        <v>191153</v>
      </c>
      <c r="L43" s="41">
        <f t="shared" si="12"/>
        <v>0.69965417170115785</v>
      </c>
      <c r="M43" s="39">
        <f>D43*70%</f>
        <v>445510.1</v>
      </c>
      <c r="N43" s="41">
        <f t="shared" si="2"/>
        <v>0.7</v>
      </c>
      <c r="O43" s="39">
        <v>445510</v>
      </c>
      <c r="P43" s="41">
        <f t="shared" si="23"/>
        <v>0.69999984287673833</v>
      </c>
      <c r="Q43" s="39"/>
      <c r="R43" s="42" t="s">
        <v>115</v>
      </c>
      <c r="S43" s="42" t="s">
        <v>122</v>
      </c>
      <c r="T43" s="43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30"/>
      <c r="AU43" s="30"/>
    </row>
    <row r="44" spans="1:204" s="50" customFormat="1" ht="26.25" customHeight="1" x14ac:dyDescent="0.2">
      <c r="A44" s="35">
        <v>4</v>
      </c>
      <c r="B44" s="36" t="s">
        <v>39</v>
      </c>
      <c r="C44" s="37">
        <v>7900000</v>
      </c>
      <c r="D44" s="37">
        <f>F44+G44</f>
        <v>5008410</v>
      </c>
      <c r="E44" s="38">
        <v>6354000</v>
      </c>
      <c r="F44" s="39">
        <v>859000</v>
      </c>
      <c r="G44" s="59">
        <v>4149410</v>
      </c>
      <c r="H44" s="39">
        <f t="shared" si="22"/>
        <v>2668869</v>
      </c>
      <c r="I44" s="39">
        <f>1720877+136243+9747+18950+8958</f>
        <v>1894775</v>
      </c>
      <c r="J44" s="39">
        <v>774094</v>
      </c>
      <c r="K44" s="38">
        <f t="shared" ref="K44:K50" si="24">D44-H44</f>
        <v>2339541</v>
      </c>
      <c r="L44" s="41">
        <f t="shared" si="12"/>
        <v>0.5328775000449244</v>
      </c>
      <c r="M44" s="39">
        <f>H44</f>
        <v>2668869</v>
      </c>
      <c r="N44" s="41">
        <f t="shared" si="2"/>
        <v>0.5328775000449244</v>
      </c>
      <c r="O44" s="39">
        <f>1866867</f>
        <v>1866867</v>
      </c>
      <c r="P44" s="41">
        <f>O44/D44</f>
        <v>0.37274644048710071</v>
      </c>
      <c r="Q44" s="39"/>
      <c r="R44" s="42" t="s">
        <v>109</v>
      </c>
      <c r="S44" s="42" t="s">
        <v>116</v>
      </c>
      <c r="T44" s="43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9"/>
      <c r="AU44" s="49"/>
    </row>
    <row r="45" spans="1:204" s="45" customFormat="1" ht="26.25" customHeight="1" x14ac:dyDescent="0.2">
      <c r="A45" s="35">
        <v>5</v>
      </c>
      <c r="B45" s="36" t="s">
        <v>40</v>
      </c>
      <c r="C45" s="37">
        <v>4400000</v>
      </c>
      <c r="D45" s="37">
        <f>F45+G45</f>
        <v>2660835</v>
      </c>
      <c r="E45" s="38">
        <v>3500000</v>
      </c>
      <c r="F45" s="39">
        <v>500000</v>
      </c>
      <c r="G45" s="59">
        <v>2160835</v>
      </c>
      <c r="H45" s="39">
        <f t="shared" si="22"/>
        <v>1109804</v>
      </c>
      <c r="I45" s="39">
        <f>8332+1402+989931+51781+58358</f>
        <v>1109804</v>
      </c>
      <c r="J45" s="39">
        <v>0</v>
      </c>
      <c r="K45" s="38">
        <f t="shared" si="24"/>
        <v>1551031</v>
      </c>
      <c r="L45" s="41">
        <f>H45/D45</f>
        <v>0.41708862067734376</v>
      </c>
      <c r="M45" s="39">
        <f>1336000</f>
        <v>1336000</v>
      </c>
      <c r="N45" s="41">
        <f>M45/D45</f>
        <v>0.50209802561977723</v>
      </c>
      <c r="O45" s="39">
        <f>M45+H45</f>
        <v>2445804</v>
      </c>
      <c r="P45" s="41">
        <f t="shared" si="23"/>
        <v>0.91918664629712099</v>
      </c>
      <c r="Q45" s="39"/>
      <c r="R45" s="42" t="s">
        <v>118</v>
      </c>
      <c r="S45" s="42" t="s">
        <v>196</v>
      </c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4"/>
      <c r="AU45" s="44"/>
    </row>
    <row r="46" spans="1:204" s="12" customFormat="1" ht="36" customHeight="1" x14ac:dyDescent="0.2">
      <c r="A46" s="35">
        <v>6</v>
      </c>
      <c r="B46" s="36" t="s">
        <v>41</v>
      </c>
      <c r="C46" s="37">
        <v>2640000</v>
      </c>
      <c r="D46" s="37">
        <f t="shared" ref="D46:D68" si="25">F46+G46</f>
        <v>2400000</v>
      </c>
      <c r="E46" s="38">
        <v>0</v>
      </c>
      <c r="F46" s="39">
        <v>2400000</v>
      </c>
      <c r="G46" s="40"/>
      <c r="H46" s="39">
        <f t="shared" si="22"/>
        <v>941485</v>
      </c>
      <c r="I46" s="39">
        <f>7613+5227+7693+231352+3887+70872</f>
        <v>326644</v>
      </c>
      <c r="J46" s="39">
        <f>597272+17569</f>
        <v>614841</v>
      </c>
      <c r="K46" s="38">
        <f t="shared" si="24"/>
        <v>1458515</v>
      </c>
      <c r="L46" s="41">
        <f>H46/D46</f>
        <v>0.39228541666666666</v>
      </c>
      <c r="M46" s="39">
        <v>1383777</v>
      </c>
      <c r="N46" s="41">
        <f t="shared" si="2"/>
        <v>0.57657375</v>
      </c>
      <c r="O46" s="39">
        <v>2000000</v>
      </c>
      <c r="P46" s="41">
        <f>O46/D46</f>
        <v>0.83333333333333337</v>
      </c>
      <c r="Q46" s="39"/>
      <c r="R46" s="42" t="s">
        <v>121</v>
      </c>
      <c r="S46" s="42" t="s">
        <v>120</v>
      </c>
      <c r="T46" s="43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30"/>
      <c r="AU46" s="30"/>
    </row>
    <row r="47" spans="1:204" s="50" customFormat="1" ht="35.25" customHeight="1" x14ac:dyDescent="0.2">
      <c r="A47" s="35">
        <v>7</v>
      </c>
      <c r="B47" s="36" t="s">
        <v>42</v>
      </c>
      <c r="C47" s="37">
        <v>3157000</v>
      </c>
      <c r="D47" s="37">
        <f t="shared" si="25"/>
        <v>2870000</v>
      </c>
      <c r="E47" s="38">
        <v>0</v>
      </c>
      <c r="F47" s="39">
        <v>2870000</v>
      </c>
      <c r="G47" s="40"/>
      <c r="H47" s="39">
        <f>I47+J47</f>
        <v>746041</v>
      </c>
      <c r="I47" s="39">
        <f>126164+9326+728+1439+62112+7772</f>
        <v>207541</v>
      </c>
      <c r="J47" s="39">
        <f>538500</f>
        <v>538500</v>
      </c>
      <c r="K47" s="38">
        <f t="shared" si="24"/>
        <v>2123959</v>
      </c>
      <c r="L47" s="41">
        <f>H47/D47</f>
        <v>0.2599445993031359</v>
      </c>
      <c r="M47" s="39">
        <v>861000</v>
      </c>
      <c r="N47" s="41">
        <f t="shared" si="2"/>
        <v>0.3</v>
      </c>
      <c r="O47" s="39">
        <f>D47*60%</f>
        <v>1722000</v>
      </c>
      <c r="P47" s="41">
        <f>O47/D47</f>
        <v>0.6</v>
      </c>
      <c r="Q47" s="39"/>
      <c r="R47" s="42" t="s">
        <v>141</v>
      </c>
      <c r="S47" s="42" t="s">
        <v>140</v>
      </c>
      <c r="T47" s="43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9"/>
      <c r="AU47" s="49"/>
    </row>
    <row r="48" spans="1:204" s="12" customFormat="1" ht="30.6" customHeight="1" x14ac:dyDescent="0.2">
      <c r="A48" s="35">
        <v>8</v>
      </c>
      <c r="B48" s="36" t="s">
        <v>43</v>
      </c>
      <c r="C48" s="37">
        <v>5670000</v>
      </c>
      <c r="D48" s="37">
        <f t="shared" si="25"/>
        <v>747000</v>
      </c>
      <c r="E48" s="38">
        <v>0</v>
      </c>
      <c r="F48" s="39">
        <v>747000</v>
      </c>
      <c r="G48" s="40"/>
      <c r="H48" s="39">
        <f t="shared" si="22"/>
        <v>609750</v>
      </c>
      <c r="I48" s="39">
        <v>472802</v>
      </c>
      <c r="J48" s="39">
        <v>136948</v>
      </c>
      <c r="K48" s="38">
        <f t="shared" si="24"/>
        <v>137250</v>
      </c>
      <c r="L48" s="41">
        <f>H48/D48</f>
        <v>0.8162650602409639</v>
      </c>
      <c r="M48" s="39">
        <v>609750</v>
      </c>
      <c r="N48" s="41">
        <f t="shared" ref="N48:N70" si="26">M48/D48</f>
        <v>0.8162650602409639</v>
      </c>
      <c r="O48" s="39">
        <v>609750</v>
      </c>
      <c r="P48" s="41">
        <f t="shared" si="23"/>
        <v>0.8162650602409639</v>
      </c>
      <c r="Q48" s="39"/>
      <c r="R48" s="42" t="s">
        <v>146</v>
      </c>
      <c r="S48" s="42" t="s">
        <v>147</v>
      </c>
      <c r="T48" s="43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30"/>
      <c r="AU48" s="30"/>
    </row>
    <row r="49" spans="1:47" s="53" customFormat="1" ht="30.6" customHeight="1" x14ac:dyDescent="0.2">
      <c r="A49" s="35">
        <v>9</v>
      </c>
      <c r="B49" s="36" t="s">
        <v>182</v>
      </c>
      <c r="C49" s="37">
        <v>1874000</v>
      </c>
      <c r="D49" s="37">
        <f t="shared" si="25"/>
        <v>1704000</v>
      </c>
      <c r="E49" s="38">
        <v>0</v>
      </c>
      <c r="F49" s="39">
        <v>1704000</v>
      </c>
      <c r="G49" s="40"/>
      <c r="H49" s="39">
        <f t="shared" si="22"/>
        <v>0</v>
      </c>
      <c r="I49" s="39">
        <v>0</v>
      </c>
      <c r="J49" s="39">
        <v>0</v>
      </c>
      <c r="K49" s="38">
        <f t="shared" si="24"/>
        <v>1704000</v>
      </c>
      <c r="L49" s="41">
        <f>H49/D49</f>
        <v>0</v>
      </c>
      <c r="M49" s="39">
        <v>609750</v>
      </c>
      <c r="N49" s="41">
        <f>M49/D49</f>
        <v>0.3578345070422535</v>
      </c>
      <c r="O49" s="39">
        <v>700000</v>
      </c>
      <c r="P49" s="41">
        <f>O49/D49</f>
        <v>0.41079812206572769</v>
      </c>
      <c r="Q49" s="39"/>
      <c r="R49" s="42" t="s">
        <v>207</v>
      </c>
      <c r="S49" s="42"/>
      <c r="T49" s="43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2"/>
      <c r="AU49" s="52"/>
    </row>
    <row r="50" spans="1:47" s="53" customFormat="1" ht="26.25" customHeight="1" x14ac:dyDescent="0.2">
      <c r="A50" s="35">
        <v>10</v>
      </c>
      <c r="B50" s="36" t="s">
        <v>177</v>
      </c>
      <c r="C50" s="37">
        <v>9500000</v>
      </c>
      <c r="D50" s="37">
        <f t="shared" si="25"/>
        <v>2000000</v>
      </c>
      <c r="E50" s="38">
        <v>0</v>
      </c>
      <c r="F50" s="39">
        <v>2000000</v>
      </c>
      <c r="G50" s="40"/>
      <c r="H50" s="39">
        <f t="shared" ref="H50:H61" si="27">I50+J50</f>
        <v>0</v>
      </c>
      <c r="I50" s="39">
        <v>0</v>
      </c>
      <c r="J50" s="39">
        <v>0</v>
      </c>
      <c r="K50" s="38">
        <f t="shared" si="24"/>
        <v>2000000</v>
      </c>
      <c r="L50" s="41">
        <f t="shared" si="12"/>
        <v>0</v>
      </c>
      <c r="M50" s="39">
        <v>0</v>
      </c>
      <c r="N50" s="41">
        <f t="shared" si="26"/>
        <v>0</v>
      </c>
      <c r="O50" s="39">
        <v>1500000</v>
      </c>
      <c r="P50" s="41">
        <f t="shared" si="23"/>
        <v>0.75</v>
      </c>
      <c r="Q50" s="39"/>
      <c r="R50" s="42" t="s">
        <v>183</v>
      </c>
      <c r="S50" s="42"/>
      <c r="T50" s="43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2"/>
      <c r="AU50" s="52"/>
    </row>
    <row r="51" spans="1:47" s="53" customFormat="1" ht="33" customHeight="1" x14ac:dyDescent="0.2">
      <c r="A51" s="35">
        <v>11</v>
      </c>
      <c r="B51" s="36" t="s">
        <v>178</v>
      </c>
      <c r="C51" s="37">
        <v>17016000</v>
      </c>
      <c r="D51" s="37">
        <f t="shared" si="25"/>
        <v>2771000</v>
      </c>
      <c r="E51" s="38">
        <v>0</v>
      </c>
      <c r="F51" s="39">
        <v>2771000</v>
      </c>
      <c r="G51" s="40"/>
      <c r="H51" s="39">
        <f t="shared" si="27"/>
        <v>0</v>
      </c>
      <c r="I51" s="39">
        <v>0</v>
      </c>
      <c r="J51" s="39"/>
      <c r="K51" s="38">
        <f t="shared" si="17"/>
        <v>2771000</v>
      </c>
      <c r="L51" s="41">
        <f t="shared" ref="L51:L57" si="28">H51/D51</f>
        <v>0</v>
      </c>
      <c r="M51" s="39">
        <v>0</v>
      </c>
      <c r="N51" s="41">
        <f t="shared" si="26"/>
        <v>0</v>
      </c>
      <c r="O51" s="39">
        <v>1500000</v>
      </c>
      <c r="P51" s="41">
        <f t="shared" si="23"/>
        <v>0.5413208228076507</v>
      </c>
      <c r="Q51" s="39"/>
      <c r="R51" s="42" t="s">
        <v>183</v>
      </c>
      <c r="S51" s="42"/>
      <c r="T51" s="43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2"/>
      <c r="AU51" s="52"/>
    </row>
    <row r="52" spans="1:47" s="81" customFormat="1" ht="33" customHeight="1" x14ac:dyDescent="0.2">
      <c r="A52" s="35">
        <v>12</v>
      </c>
      <c r="B52" s="36" t="s">
        <v>179</v>
      </c>
      <c r="C52" s="37">
        <v>4800000</v>
      </c>
      <c r="D52" s="37">
        <f t="shared" si="25"/>
        <v>2500000</v>
      </c>
      <c r="E52" s="38">
        <v>0</v>
      </c>
      <c r="F52" s="39">
        <v>2500000</v>
      </c>
      <c r="G52" s="40"/>
      <c r="H52" s="39">
        <f>I52+J52</f>
        <v>1278064</v>
      </c>
      <c r="I52" s="39">
        <v>238360</v>
      </c>
      <c r="J52" s="39">
        <f>999704+40000</f>
        <v>1039704</v>
      </c>
      <c r="K52" s="38">
        <f t="shared" ref="K52:K57" si="29">D52-H52</f>
        <v>1221936</v>
      </c>
      <c r="L52" s="41">
        <f t="shared" si="28"/>
        <v>0.51122559999999995</v>
      </c>
      <c r="M52" s="39">
        <v>0</v>
      </c>
      <c r="N52" s="41">
        <f>M52/D52</f>
        <v>0</v>
      </c>
      <c r="O52" s="39">
        <v>1500000</v>
      </c>
      <c r="P52" s="41">
        <f>O52/D52</f>
        <v>0.6</v>
      </c>
      <c r="Q52" s="39">
        <f>999704+40000</f>
        <v>1039704</v>
      </c>
      <c r="R52" s="42" t="s">
        <v>204</v>
      </c>
      <c r="S52" s="42" t="s">
        <v>205</v>
      </c>
      <c r="T52" s="43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80"/>
      <c r="AU52" s="80"/>
    </row>
    <row r="53" spans="1:47" s="69" customFormat="1" ht="33" customHeight="1" x14ac:dyDescent="0.2">
      <c r="A53" s="35">
        <v>13</v>
      </c>
      <c r="B53" s="36" t="s">
        <v>180</v>
      </c>
      <c r="C53" s="37">
        <v>3410000</v>
      </c>
      <c r="D53" s="37">
        <f t="shared" si="25"/>
        <v>1400000</v>
      </c>
      <c r="E53" s="38">
        <v>0</v>
      </c>
      <c r="F53" s="39">
        <v>1400000</v>
      </c>
      <c r="G53" s="40"/>
      <c r="H53" s="39">
        <f>I53+J53</f>
        <v>268356</v>
      </c>
      <c r="I53" s="39">
        <f>250584+3993+5419+8360</f>
        <v>268356</v>
      </c>
      <c r="J53" s="39"/>
      <c r="K53" s="38">
        <f t="shared" si="29"/>
        <v>1131644</v>
      </c>
      <c r="L53" s="41">
        <f t="shared" si="28"/>
        <v>0.19168285714285715</v>
      </c>
      <c r="M53" s="39">
        <v>0</v>
      </c>
      <c r="N53" s="41">
        <f>M53/D53</f>
        <v>0</v>
      </c>
      <c r="O53" s="39">
        <v>700000</v>
      </c>
      <c r="P53" s="41">
        <f>O53/D53</f>
        <v>0.5</v>
      </c>
      <c r="Q53" s="39"/>
      <c r="R53" s="42" t="s">
        <v>197</v>
      </c>
      <c r="S53" s="42" t="s">
        <v>206</v>
      </c>
      <c r="T53" s="43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8"/>
      <c r="AU53" s="68"/>
    </row>
    <row r="54" spans="1:47" s="69" customFormat="1" ht="52.5" customHeight="1" x14ac:dyDescent="0.2">
      <c r="A54" s="35">
        <v>14</v>
      </c>
      <c r="B54" s="36" t="s">
        <v>185</v>
      </c>
      <c r="C54" s="37">
        <v>6500000</v>
      </c>
      <c r="D54" s="37">
        <f t="shared" si="25"/>
        <v>3000000</v>
      </c>
      <c r="E54" s="38">
        <v>0</v>
      </c>
      <c r="F54" s="39">
        <v>3000000</v>
      </c>
      <c r="G54" s="40"/>
      <c r="H54" s="39">
        <f t="shared" ref="H54:H60" si="30">I54+J54</f>
        <v>1485158</v>
      </c>
      <c r="I54" s="39"/>
      <c r="J54" s="39">
        <f>1437879+47279</f>
        <v>1485158</v>
      </c>
      <c r="K54" s="38">
        <f t="shared" si="29"/>
        <v>1514842</v>
      </c>
      <c r="L54" s="41">
        <f t="shared" si="28"/>
        <v>0.49505266666666664</v>
      </c>
      <c r="M54" s="39">
        <v>0</v>
      </c>
      <c r="N54" s="41">
        <f>M54/D54</f>
        <v>0</v>
      </c>
      <c r="O54" s="39">
        <v>1000000</v>
      </c>
      <c r="P54" s="41">
        <f>O54/D54</f>
        <v>0.33333333333333331</v>
      </c>
      <c r="Q54" s="39"/>
      <c r="R54" s="42" t="s">
        <v>200</v>
      </c>
      <c r="S54" s="42" t="s">
        <v>147</v>
      </c>
      <c r="T54" s="43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8"/>
      <c r="AU54" s="68"/>
    </row>
    <row r="55" spans="1:47" s="53" customFormat="1" ht="33" customHeight="1" x14ac:dyDescent="0.2">
      <c r="A55" s="35">
        <v>15</v>
      </c>
      <c r="B55" s="36" t="s">
        <v>186</v>
      </c>
      <c r="C55" s="37">
        <v>4510000</v>
      </c>
      <c r="D55" s="37">
        <f t="shared" si="25"/>
        <v>2100000</v>
      </c>
      <c r="E55" s="38">
        <v>0</v>
      </c>
      <c r="F55" s="39">
        <v>2100000</v>
      </c>
      <c r="G55" s="40"/>
      <c r="H55" s="39">
        <f t="shared" si="30"/>
        <v>0</v>
      </c>
      <c r="I55" s="39">
        <v>0</v>
      </c>
      <c r="J55" s="39"/>
      <c r="K55" s="38">
        <f t="shared" si="29"/>
        <v>2100000</v>
      </c>
      <c r="L55" s="41">
        <f t="shared" si="28"/>
        <v>0</v>
      </c>
      <c r="M55" s="39">
        <v>0</v>
      </c>
      <c r="N55" s="41">
        <f>M55/D55</f>
        <v>0</v>
      </c>
      <c r="O55" s="39">
        <v>1500000</v>
      </c>
      <c r="P55" s="41">
        <f>O55/D55</f>
        <v>0.7142857142857143</v>
      </c>
      <c r="Q55" s="39"/>
      <c r="R55" s="42" t="s">
        <v>183</v>
      </c>
      <c r="S55" s="42"/>
      <c r="T55" s="43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2"/>
      <c r="AU55" s="52"/>
    </row>
    <row r="56" spans="1:47" s="50" customFormat="1" ht="33" customHeight="1" x14ac:dyDescent="0.2">
      <c r="A56" s="35">
        <v>16</v>
      </c>
      <c r="B56" s="36" t="s">
        <v>94</v>
      </c>
      <c r="C56" s="37">
        <v>1210000</v>
      </c>
      <c r="D56" s="37">
        <f t="shared" si="25"/>
        <v>1100000</v>
      </c>
      <c r="E56" s="38">
        <v>0</v>
      </c>
      <c r="F56" s="39">
        <v>1100000</v>
      </c>
      <c r="G56" s="40"/>
      <c r="H56" s="39">
        <f>I56+J56</f>
        <v>402044</v>
      </c>
      <c r="I56" s="39">
        <f>97258+1786</f>
        <v>99044</v>
      </c>
      <c r="J56" s="39">
        <f>273000+30000</f>
        <v>303000</v>
      </c>
      <c r="K56" s="38">
        <f t="shared" si="29"/>
        <v>697956</v>
      </c>
      <c r="L56" s="41">
        <f t="shared" si="28"/>
        <v>0.36549454545454546</v>
      </c>
      <c r="M56" s="39">
        <v>330000</v>
      </c>
      <c r="N56" s="41">
        <f t="shared" si="26"/>
        <v>0.3</v>
      </c>
      <c r="O56" s="39">
        <v>800000</v>
      </c>
      <c r="P56" s="41">
        <f>O56/D56</f>
        <v>0.72727272727272729</v>
      </c>
      <c r="Q56" s="39"/>
      <c r="R56" s="42" t="s">
        <v>113</v>
      </c>
      <c r="S56" s="42" t="s">
        <v>140</v>
      </c>
      <c r="T56" s="43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9"/>
      <c r="AU56" s="49"/>
    </row>
    <row r="57" spans="1:47" s="50" customFormat="1" ht="59.45" customHeight="1" x14ac:dyDescent="0.2">
      <c r="A57" s="35">
        <v>17</v>
      </c>
      <c r="B57" s="36" t="s">
        <v>44</v>
      </c>
      <c r="C57" s="37">
        <v>4620000</v>
      </c>
      <c r="D57" s="37">
        <f t="shared" si="25"/>
        <v>4200000</v>
      </c>
      <c r="E57" s="38">
        <v>0</v>
      </c>
      <c r="F57" s="39">
        <v>4200000</v>
      </c>
      <c r="G57" s="40"/>
      <c r="H57" s="39">
        <f>I57+J57</f>
        <v>2217902</v>
      </c>
      <c r="I57" s="39">
        <f>183819+1507+14734+2300+12422+98125+12422+692229+185485+189372+825487</f>
        <v>2217902</v>
      </c>
      <c r="J57" s="39"/>
      <c r="K57" s="38">
        <f t="shared" si="29"/>
        <v>1982098</v>
      </c>
      <c r="L57" s="41">
        <f t="shared" si="28"/>
        <v>0.5280719047619048</v>
      </c>
      <c r="M57" s="39">
        <v>1107825</v>
      </c>
      <c r="N57" s="41">
        <f t="shared" si="26"/>
        <v>0.26376785714285716</v>
      </c>
      <c r="O57" s="39">
        <f>D57*60%</f>
        <v>2520000</v>
      </c>
      <c r="P57" s="41">
        <f t="shared" si="23"/>
        <v>0.6</v>
      </c>
      <c r="Q57" s="39"/>
      <c r="R57" s="42" t="s">
        <v>142</v>
      </c>
      <c r="S57" s="42" t="s">
        <v>140</v>
      </c>
      <c r="T57" s="43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9"/>
      <c r="AU57" s="49"/>
    </row>
    <row r="58" spans="1:47" s="45" customFormat="1" ht="48" customHeight="1" x14ac:dyDescent="0.2">
      <c r="A58" s="35">
        <v>18</v>
      </c>
      <c r="B58" s="36" t="s">
        <v>45</v>
      </c>
      <c r="C58" s="37">
        <v>2695000</v>
      </c>
      <c r="D58" s="37">
        <f t="shared" si="25"/>
        <v>2405000</v>
      </c>
      <c r="E58" s="38">
        <v>0</v>
      </c>
      <c r="F58" s="39">
        <v>2405000</v>
      </c>
      <c r="G58" s="40"/>
      <c r="H58" s="39">
        <f t="shared" si="30"/>
        <v>667720</v>
      </c>
      <c r="I58" s="39">
        <f>116340+1311+60000</f>
        <v>177651</v>
      </c>
      <c r="J58" s="39">
        <f>490069</f>
        <v>490069</v>
      </c>
      <c r="K58" s="38">
        <f t="shared" si="17"/>
        <v>1737280</v>
      </c>
      <c r="L58" s="41">
        <f t="shared" si="12"/>
        <v>0.27763825363825362</v>
      </c>
      <c r="M58" s="39">
        <v>633629</v>
      </c>
      <c r="N58" s="41">
        <f t="shared" si="26"/>
        <v>0.26346320166320164</v>
      </c>
      <c r="O58" s="39">
        <f>D58*60%</f>
        <v>1443000</v>
      </c>
      <c r="P58" s="41">
        <f t="shared" si="23"/>
        <v>0.6</v>
      </c>
      <c r="Q58" s="39"/>
      <c r="R58" s="42" t="s">
        <v>130</v>
      </c>
      <c r="S58" s="42" t="s">
        <v>140</v>
      </c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4"/>
      <c r="AU58" s="44"/>
    </row>
    <row r="59" spans="1:47" s="12" customFormat="1" ht="48.75" customHeight="1" x14ac:dyDescent="0.2">
      <c r="A59" s="35">
        <v>19</v>
      </c>
      <c r="B59" s="36" t="s">
        <v>58</v>
      </c>
      <c r="C59" s="37">
        <v>4900000</v>
      </c>
      <c r="D59" s="37">
        <f t="shared" si="25"/>
        <v>32412</v>
      </c>
      <c r="E59" s="38" t="s">
        <v>170</v>
      </c>
      <c r="F59" s="39"/>
      <c r="G59" s="39">
        <v>32412</v>
      </c>
      <c r="H59" s="39">
        <f t="shared" si="30"/>
        <v>32254</v>
      </c>
      <c r="I59" s="39">
        <f>27414+931+3659+250</f>
        <v>32254</v>
      </c>
      <c r="J59" s="39"/>
      <c r="K59" s="38">
        <f t="shared" si="17"/>
        <v>158</v>
      </c>
      <c r="L59" s="41">
        <f t="shared" si="12"/>
        <v>0.99512526224854991</v>
      </c>
      <c r="M59" s="39">
        <v>32254</v>
      </c>
      <c r="N59" s="41">
        <f t="shared" si="26"/>
        <v>0.99512526224854991</v>
      </c>
      <c r="O59" s="39">
        <f>D59*100%</f>
        <v>32412</v>
      </c>
      <c r="P59" s="41">
        <f t="shared" si="23"/>
        <v>1</v>
      </c>
      <c r="Q59" s="39"/>
      <c r="R59" s="42" t="s">
        <v>128</v>
      </c>
      <c r="S59" s="42" t="s">
        <v>129</v>
      </c>
      <c r="T59" s="43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30"/>
      <c r="AU59" s="30"/>
    </row>
    <row r="60" spans="1:47" s="45" customFormat="1" ht="27.95" customHeight="1" x14ac:dyDescent="0.2">
      <c r="A60" s="35">
        <v>20</v>
      </c>
      <c r="B60" s="36" t="s">
        <v>59</v>
      </c>
      <c r="C60" s="37">
        <v>3876000</v>
      </c>
      <c r="D60" s="37">
        <f t="shared" si="25"/>
        <v>1218300</v>
      </c>
      <c r="E60" s="38">
        <v>3524000</v>
      </c>
      <c r="F60" s="63"/>
      <c r="G60" s="63">
        <v>1218300</v>
      </c>
      <c r="H60" s="39">
        <f t="shared" si="30"/>
        <v>1107440</v>
      </c>
      <c r="I60" s="39">
        <f>1088096+19344</f>
        <v>1107440</v>
      </c>
      <c r="J60" s="39"/>
      <c r="K60" s="38">
        <f t="shared" si="17"/>
        <v>110860</v>
      </c>
      <c r="L60" s="41">
        <f t="shared" si="12"/>
        <v>0.90900435032422233</v>
      </c>
      <c r="M60" s="39">
        <f>I60</f>
        <v>1107440</v>
      </c>
      <c r="N60" s="41">
        <f t="shared" si="26"/>
        <v>0.90900435032422233</v>
      </c>
      <c r="O60" s="39">
        <f>D60*97%</f>
        <v>1181751</v>
      </c>
      <c r="P60" s="41">
        <f t="shared" si="23"/>
        <v>0.97</v>
      </c>
      <c r="Q60" s="39"/>
      <c r="R60" s="42" t="s">
        <v>108</v>
      </c>
      <c r="S60" s="42" t="s">
        <v>116</v>
      </c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4"/>
      <c r="AU60" s="44"/>
    </row>
    <row r="61" spans="1:47" s="45" customFormat="1" ht="51.75" customHeight="1" x14ac:dyDescent="0.2">
      <c r="A61" s="35">
        <v>21</v>
      </c>
      <c r="B61" s="36" t="s">
        <v>60</v>
      </c>
      <c r="C61" s="37">
        <v>5150000</v>
      </c>
      <c r="D61" s="37">
        <f t="shared" si="25"/>
        <v>1977062</v>
      </c>
      <c r="E61" s="38">
        <v>4691000</v>
      </c>
      <c r="F61" s="63"/>
      <c r="G61" s="63">
        <v>1977062</v>
      </c>
      <c r="H61" s="39">
        <f t="shared" si="27"/>
        <v>1910555</v>
      </c>
      <c r="I61" s="39">
        <f>9689+1214490+135423+20885+4320+525748</f>
        <v>1910555</v>
      </c>
      <c r="J61" s="39"/>
      <c r="K61" s="38">
        <f t="shared" si="17"/>
        <v>66507</v>
      </c>
      <c r="L61" s="41">
        <f t="shared" si="12"/>
        <v>0.96636069076235342</v>
      </c>
      <c r="M61" s="39">
        <v>1277062</v>
      </c>
      <c r="N61" s="41">
        <f t="shared" si="26"/>
        <v>0.64593927757450198</v>
      </c>
      <c r="O61" s="39">
        <f>D61*80%</f>
        <v>1581649.6</v>
      </c>
      <c r="P61" s="41">
        <f t="shared" si="23"/>
        <v>0.8</v>
      </c>
      <c r="Q61" s="39"/>
      <c r="R61" s="42" t="s">
        <v>114</v>
      </c>
      <c r="S61" s="42" t="s">
        <v>133</v>
      </c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4"/>
      <c r="AU61" s="44"/>
    </row>
    <row r="62" spans="1:47" s="45" customFormat="1" ht="30" customHeight="1" x14ac:dyDescent="0.2">
      <c r="A62" s="35">
        <v>22</v>
      </c>
      <c r="B62" s="36" t="s">
        <v>61</v>
      </c>
      <c r="C62" s="37">
        <v>1870000</v>
      </c>
      <c r="D62" s="37">
        <f t="shared" si="25"/>
        <v>55706</v>
      </c>
      <c r="E62" s="38">
        <v>1700000</v>
      </c>
      <c r="F62" s="63"/>
      <c r="G62" s="63">
        <v>55706</v>
      </c>
      <c r="H62" s="39">
        <f>I62+J62</f>
        <v>55706</v>
      </c>
      <c r="I62" s="39">
        <v>55706</v>
      </c>
      <c r="J62" s="39"/>
      <c r="K62" s="38">
        <f>D62-H62</f>
        <v>0</v>
      </c>
      <c r="L62" s="41">
        <f t="shared" si="12"/>
        <v>1</v>
      </c>
      <c r="M62" s="39">
        <v>55806</v>
      </c>
      <c r="N62" s="41">
        <f t="shared" si="26"/>
        <v>1.0017951387642265</v>
      </c>
      <c r="O62" s="39">
        <f>D62</f>
        <v>55706</v>
      </c>
      <c r="P62" s="41">
        <f t="shared" si="23"/>
        <v>1</v>
      </c>
      <c r="Q62" s="39" t="s">
        <v>171</v>
      </c>
      <c r="R62" s="42" t="s">
        <v>118</v>
      </c>
      <c r="S62" s="42" t="s">
        <v>123</v>
      </c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4"/>
      <c r="AU62" s="44"/>
    </row>
    <row r="63" spans="1:47" s="72" customFormat="1" ht="26.25" customHeight="1" x14ac:dyDescent="0.2">
      <c r="A63" s="35">
        <v>23</v>
      </c>
      <c r="B63" s="36" t="s">
        <v>62</v>
      </c>
      <c r="C63" s="37">
        <v>9764000</v>
      </c>
      <c r="D63" s="37">
        <f t="shared" si="25"/>
        <v>1120070</v>
      </c>
      <c r="E63" s="38">
        <v>8876000</v>
      </c>
      <c r="F63" s="63"/>
      <c r="G63" s="63">
        <v>1120070</v>
      </c>
      <c r="H63" s="39">
        <f>I63+J63</f>
        <v>645993</v>
      </c>
      <c r="I63" s="39">
        <f>20014+617651+8328</f>
        <v>645993</v>
      </c>
      <c r="J63" s="39"/>
      <c r="K63" s="38">
        <f>D63-H63</f>
        <v>474077</v>
      </c>
      <c r="L63" s="41">
        <f>H63/D63</f>
        <v>0.57674341782210037</v>
      </c>
      <c r="M63" s="39">
        <f>D63*99%</f>
        <v>1108869.3</v>
      </c>
      <c r="N63" s="41">
        <f t="shared" si="26"/>
        <v>0.99</v>
      </c>
      <c r="O63" s="39">
        <v>820070</v>
      </c>
      <c r="P63" s="41">
        <f>O63/D63</f>
        <v>0.73215959716803414</v>
      </c>
      <c r="Q63" s="39"/>
      <c r="R63" s="42" t="s">
        <v>119</v>
      </c>
      <c r="S63" s="42" t="s">
        <v>123</v>
      </c>
      <c r="T63" s="43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1"/>
      <c r="AU63" s="71"/>
    </row>
    <row r="64" spans="1:47" s="12" customFormat="1" ht="40.5" customHeight="1" x14ac:dyDescent="0.2">
      <c r="A64" s="35">
        <v>24</v>
      </c>
      <c r="B64" s="36" t="s">
        <v>63</v>
      </c>
      <c r="C64" s="37">
        <v>2420000</v>
      </c>
      <c r="D64" s="37">
        <f t="shared" si="25"/>
        <v>381182</v>
      </c>
      <c r="E64" s="38">
        <v>2200000</v>
      </c>
      <c r="F64" s="63"/>
      <c r="G64" s="63">
        <v>381182</v>
      </c>
      <c r="H64" s="39">
        <f t="shared" ref="H64" si="31">I64+J64</f>
        <v>374308</v>
      </c>
      <c r="I64" s="39">
        <f>192544+166825+2000+5042+7897</f>
        <v>374308</v>
      </c>
      <c r="J64" s="39"/>
      <c r="K64" s="39">
        <f t="shared" si="17"/>
        <v>6874</v>
      </c>
      <c r="L64" s="41">
        <f>H64/D64</f>
        <v>0.98196661962002407</v>
      </c>
      <c r="M64" s="39">
        <f>I64</f>
        <v>374308</v>
      </c>
      <c r="N64" s="41">
        <f t="shared" si="26"/>
        <v>0.98196661962002407</v>
      </c>
      <c r="O64" s="39">
        <v>381182</v>
      </c>
      <c r="P64" s="41">
        <f t="shared" si="23"/>
        <v>1</v>
      </c>
      <c r="Q64" s="39"/>
      <c r="R64" s="42" t="s">
        <v>117</v>
      </c>
      <c r="S64" s="42" t="s">
        <v>124</v>
      </c>
      <c r="T64" s="43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30"/>
      <c r="AU64" s="30"/>
    </row>
    <row r="65" spans="1:204" s="12" customFormat="1" ht="45" customHeight="1" x14ac:dyDescent="0.2">
      <c r="A65" s="35">
        <v>25</v>
      </c>
      <c r="B65" s="36" t="s">
        <v>64</v>
      </c>
      <c r="C65" s="37">
        <v>2300000</v>
      </c>
      <c r="D65" s="37">
        <f t="shared" si="25"/>
        <v>551453</v>
      </c>
      <c r="E65" s="38">
        <v>2128000</v>
      </c>
      <c r="F65" s="63"/>
      <c r="G65" s="63">
        <v>551453</v>
      </c>
      <c r="H65" s="39">
        <f>I65+J65</f>
        <v>465960</v>
      </c>
      <c r="I65" s="39">
        <f>45846+160046+260068</f>
        <v>465960</v>
      </c>
      <c r="J65" s="39"/>
      <c r="K65" s="38">
        <f t="shared" si="17"/>
        <v>85493</v>
      </c>
      <c r="L65" s="41">
        <f t="shared" si="12"/>
        <v>0.84496774883806958</v>
      </c>
      <c r="M65" s="39">
        <v>523880</v>
      </c>
      <c r="N65" s="41">
        <f t="shared" si="26"/>
        <v>0.94999936531309104</v>
      </c>
      <c r="O65" s="39">
        <v>551453</v>
      </c>
      <c r="P65" s="41">
        <f t="shared" si="23"/>
        <v>1</v>
      </c>
      <c r="Q65" s="39"/>
      <c r="R65" s="42" t="s">
        <v>116</v>
      </c>
      <c r="S65" s="42" t="s">
        <v>125</v>
      </c>
      <c r="T65" s="43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30"/>
      <c r="AU65" s="30"/>
    </row>
    <row r="66" spans="1:204" s="47" customFormat="1" ht="39.75" customHeight="1" x14ac:dyDescent="0.2">
      <c r="A66" s="35">
        <v>26</v>
      </c>
      <c r="B66" s="36" t="s">
        <v>65</v>
      </c>
      <c r="C66" s="37">
        <v>3850000</v>
      </c>
      <c r="D66" s="37">
        <f t="shared" si="25"/>
        <v>45825</v>
      </c>
      <c r="E66" s="38">
        <v>3500000</v>
      </c>
      <c r="F66" s="63"/>
      <c r="G66" s="63">
        <v>45825</v>
      </c>
      <c r="H66" s="39">
        <f>I66+J66</f>
        <v>1407</v>
      </c>
      <c r="I66" s="39">
        <v>1407</v>
      </c>
      <c r="J66" s="39"/>
      <c r="K66" s="38">
        <f t="shared" ref="K66:K84" si="32">D66-H66</f>
        <v>44418</v>
      </c>
      <c r="L66" s="41">
        <f t="shared" si="12"/>
        <v>3.0703764320785597E-2</v>
      </c>
      <c r="M66" s="39">
        <v>0</v>
      </c>
      <c r="N66" s="41">
        <f t="shared" si="26"/>
        <v>0</v>
      </c>
      <c r="O66" s="39">
        <v>45825</v>
      </c>
      <c r="P66" s="41">
        <f t="shared" si="23"/>
        <v>1</v>
      </c>
      <c r="Q66" s="39"/>
      <c r="R66" s="42" t="s">
        <v>115</v>
      </c>
      <c r="S66" s="42" t="s">
        <v>122</v>
      </c>
      <c r="T66" s="43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5"/>
      <c r="AU66" s="55"/>
    </row>
    <row r="67" spans="1:204" s="53" customFormat="1" ht="33" customHeight="1" x14ac:dyDescent="0.2">
      <c r="A67" s="35">
        <v>27</v>
      </c>
      <c r="B67" s="36" t="s">
        <v>181</v>
      </c>
      <c r="C67" s="37">
        <v>1457000</v>
      </c>
      <c r="D67" s="37">
        <f t="shared" si="25"/>
        <v>1165235</v>
      </c>
      <c r="E67" s="38">
        <v>1319000</v>
      </c>
      <c r="F67" s="38"/>
      <c r="G67" s="38">
        <v>1165235</v>
      </c>
      <c r="H67" s="39">
        <f>I67+J67</f>
        <v>1547</v>
      </c>
      <c r="I67" s="39">
        <v>1547</v>
      </c>
      <c r="J67" s="39"/>
      <c r="K67" s="38">
        <f t="shared" si="32"/>
        <v>1163688</v>
      </c>
      <c r="L67" s="41">
        <f t="shared" si="12"/>
        <v>1.3276291906782751E-3</v>
      </c>
      <c r="M67" s="39">
        <f>I67</f>
        <v>1547</v>
      </c>
      <c r="N67" s="41">
        <f t="shared" si="26"/>
        <v>1.3276291906782751E-3</v>
      </c>
      <c r="O67" s="39">
        <v>500000</v>
      </c>
      <c r="P67" s="41">
        <f t="shared" si="23"/>
        <v>0.42909799310868624</v>
      </c>
      <c r="Q67" s="39"/>
      <c r="R67" s="42" t="s">
        <v>184</v>
      </c>
      <c r="S67" s="42"/>
      <c r="T67" s="43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2"/>
      <c r="AU67" s="52"/>
    </row>
    <row r="68" spans="1:204" s="12" customFormat="1" ht="24" customHeight="1" x14ac:dyDescent="0.2">
      <c r="A68" s="35">
        <v>28</v>
      </c>
      <c r="B68" s="36" t="s">
        <v>66</v>
      </c>
      <c r="C68" s="37">
        <v>3824000</v>
      </c>
      <c r="D68" s="37">
        <f t="shared" si="25"/>
        <v>744302</v>
      </c>
      <c r="E68" s="38">
        <v>3476000</v>
      </c>
      <c r="F68" s="38"/>
      <c r="G68" s="38">
        <v>744302</v>
      </c>
      <c r="H68" s="39">
        <f>I68+J68</f>
        <v>744302</v>
      </c>
      <c r="I68" s="39">
        <v>744302</v>
      </c>
      <c r="J68" s="39"/>
      <c r="K68" s="38">
        <f t="shared" si="32"/>
        <v>0</v>
      </c>
      <c r="L68" s="41">
        <f>H68/D68</f>
        <v>1</v>
      </c>
      <c r="M68" s="39">
        <v>744302</v>
      </c>
      <c r="N68" s="41">
        <f t="shared" si="26"/>
        <v>1</v>
      </c>
      <c r="O68" s="39">
        <v>744302</v>
      </c>
      <c r="P68" s="41">
        <v>1</v>
      </c>
      <c r="Q68" s="39" t="s">
        <v>171</v>
      </c>
      <c r="R68" s="42" t="s">
        <v>112</v>
      </c>
      <c r="S68" s="42" t="s">
        <v>120</v>
      </c>
      <c r="T68" s="43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30"/>
      <c r="AU68" s="30"/>
    </row>
    <row r="69" spans="1:204" s="45" customFormat="1" ht="33" customHeight="1" x14ac:dyDescent="0.2">
      <c r="A69" s="35">
        <v>29</v>
      </c>
      <c r="B69" s="36" t="s">
        <v>67</v>
      </c>
      <c r="C69" s="37">
        <v>1210000</v>
      </c>
      <c r="D69" s="37">
        <f>F69+G69</f>
        <v>402572</v>
      </c>
      <c r="E69" s="38">
        <v>1100000</v>
      </c>
      <c r="F69" s="63"/>
      <c r="G69" s="63">
        <v>402572</v>
      </c>
      <c r="H69" s="39">
        <f>I69+J69</f>
        <v>402572</v>
      </c>
      <c r="I69" s="39">
        <f>366703+2780+28017+2340+2732</f>
        <v>402572</v>
      </c>
      <c r="J69" s="39"/>
      <c r="K69" s="38">
        <f t="shared" si="32"/>
        <v>0</v>
      </c>
      <c r="L69" s="41">
        <f>H69/D69</f>
        <v>1</v>
      </c>
      <c r="M69" s="39">
        <f>I69</f>
        <v>402572</v>
      </c>
      <c r="N69" s="41">
        <f t="shared" si="26"/>
        <v>1</v>
      </c>
      <c r="O69" s="39">
        <v>402572</v>
      </c>
      <c r="P69" s="41">
        <f>O69/D69</f>
        <v>1</v>
      </c>
      <c r="Q69" s="39" t="s">
        <v>190</v>
      </c>
      <c r="R69" s="42" t="s">
        <v>113</v>
      </c>
      <c r="S69" s="42" t="s">
        <v>120</v>
      </c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4"/>
      <c r="AU69" s="44"/>
    </row>
    <row r="70" spans="1:204" s="19" customFormat="1" ht="39.75" customHeight="1" x14ac:dyDescent="0.2">
      <c r="A70" s="87" t="s">
        <v>57</v>
      </c>
      <c r="B70" s="107" t="s">
        <v>19</v>
      </c>
      <c r="C70" s="100"/>
      <c r="D70" s="93">
        <f>F70+G70</f>
        <v>56876366.100000001</v>
      </c>
      <c r="E70" s="93"/>
      <c r="F70" s="93">
        <f>SUM(F71:F84)</f>
        <v>46343438.100000001</v>
      </c>
      <c r="G70" s="93">
        <f>SUM(G71:G84)</f>
        <v>10532928</v>
      </c>
      <c r="H70" s="93">
        <f>SUM(H71:H84)</f>
        <v>27242507</v>
      </c>
      <c r="I70" s="93">
        <f>SUM(I71:I84)</f>
        <v>14542674</v>
      </c>
      <c r="J70" s="93">
        <f>SUM(J71:J84)</f>
        <v>12699833</v>
      </c>
      <c r="K70" s="93">
        <f t="shared" si="32"/>
        <v>29633859.100000001</v>
      </c>
      <c r="L70" s="94">
        <f>H70/D70</f>
        <v>0.47897762933908677</v>
      </c>
      <c r="M70" s="93">
        <f>SUM(M71:M84)</f>
        <v>29078953</v>
      </c>
      <c r="N70" s="94">
        <f t="shared" si="26"/>
        <v>0.51126601423293105</v>
      </c>
      <c r="O70" s="93">
        <f>SUM(O71:O84)</f>
        <v>45391429.479999997</v>
      </c>
      <c r="P70" s="94">
        <f>O70/D70</f>
        <v>0.79807189861941608</v>
      </c>
      <c r="Q70" s="93">
        <f>SUM(Q71:Q84)</f>
        <v>1106944</v>
      </c>
      <c r="R70" s="42"/>
      <c r="S70" s="42"/>
      <c r="T70" s="98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</row>
    <row r="71" spans="1:204" s="21" customFormat="1" ht="27" customHeight="1" x14ac:dyDescent="0.2">
      <c r="A71" s="35">
        <v>1</v>
      </c>
      <c r="B71" s="36" t="s">
        <v>46</v>
      </c>
      <c r="C71" s="37">
        <v>3274000</v>
      </c>
      <c r="D71" s="37">
        <f>F71+G71</f>
        <v>1565840.1</v>
      </c>
      <c r="E71" s="38">
        <v>2000000</v>
      </c>
      <c r="F71" s="39">
        <v>976578.1</v>
      </c>
      <c r="G71" s="39">
        <f>G100</f>
        <v>589262</v>
      </c>
      <c r="H71" s="39">
        <f t="shared" ref="H71:H84" si="33">I71+J71</f>
        <v>1526969</v>
      </c>
      <c r="I71" s="39">
        <f>7423+2000+1482760+34786</f>
        <v>1526969</v>
      </c>
      <c r="J71" s="38">
        <v>0</v>
      </c>
      <c r="K71" s="38">
        <f t="shared" si="32"/>
        <v>38871.100000000093</v>
      </c>
      <c r="L71" s="41">
        <f>H71/D71</f>
        <v>0.97517556230677693</v>
      </c>
      <c r="M71" s="39">
        <v>1526969</v>
      </c>
      <c r="N71" s="41">
        <f>M71/D71</f>
        <v>0.97517556230677693</v>
      </c>
      <c r="O71" s="39">
        <v>1565842</v>
      </c>
      <c r="P71" s="41">
        <f>O71/D71</f>
        <v>1.0000012134061453</v>
      </c>
      <c r="Q71" s="39"/>
      <c r="R71" s="42" t="s">
        <v>113</v>
      </c>
      <c r="S71" s="42" t="s">
        <v>120</v>
      </c>
      <c r="T71" s="98"/>
    </row>
    <row r="72" spans="1:204" s="21" customFormat="1" ht="27" customHeight="1" x14ac:dyDescent="0.2">
      <c r="A72" s="35">
        <v>2</v>
      </c>
      <c r="B72" s="36" t="s">
        <v>21</v>
      </c>
      <c r="C72" s="37">
        <v>3274000</v>
      </c>
      <c r="D72" s="37">
        <f t="shared" ref="D72:D83" si="34">F72+G72</f>
        <v>1354821</v>
      </c>
      <c r="E72" s="38">
        <v>1906000</v>
      </c>
      <c r="F72" s="39">
        <v>1070580</v>
      </c>
      <c r="G72" s="39">
        <f>G101</f>
        <v>284241</v>
      </c>
      <c r="H72" s="39">
        <f t="shared" si="33"/>
        <v>1216446</v>
      </c>
      <c r="I72" s="38">
        <f>7228+277013+887615+44590</f>
        <v>1216446</v>
      </c>
      <c r="J72" s="38">
        <v>0</v>
      </c>
      <c r="K72" s="38">
        <f t="shared" si="32"/>
        <v>138375</v>
      </c>
      <c r="L72" s="41">
        <f t="shared" si="12"/>
        <v>0.89786473637476838</v>
      </c>
      <c r="M72" s="39">
        <v>677411</v>
      </c>
      <c r="N72" s="41">
        <f t="shared" ref="N72:N84" si="35">M72/D72</f>
        <v>0.50000036905244305</v>
      </c>
      <c r="O72" s="39">
        <v>1354821</v>
      </c>
      <c r="P72" s="41">
        <f t="shared" ref="P72:P84" si="36">O72/D72</f>
        <v>1</v>
      </c>
      <c r="Q72" s="39"/>
      <c r="R72" s="42" t="s">
        <v>112</v>
      </c>
      <c r="S72" s="42" t="s">
        <v>120</v>
      </c>
      <c r="T72" s="98"/>
    </row>
    <row r="73" spans="1:204" s="21" customFormat="1" ht="27" customHeight="1" x14ac:dyDescent="0.2">
      <c r="A73" s="35">
        <v>3</v>
      </c>
      <c r="B73" s="36" t="s">
        <v>47</v>
      </c>
      <c r="C73" s="37">
        <v>3274000</v>
      </c>
      <c r="D73" s="37">
        <f t="shared" si="34"/>
        <v>1421000</v>
      </c>
      <c r="E73" s="38"/>
      <c r="F73" s="39">
        <v>1421000</v>
      </c>
      <c r="G73" s="93"/>
      <c r="H73" s="39">
        <f t="shared" si="33"/>
        <v>1166475</v>
      </c>
      <c r="I73" s="38">
        <f>319632+87000</f>
        <v>406632</v>
      </c>
      <c r="J73" s="38">
        <f>759843</f>
        <v>759843</v>
      </c>
      <c r="K73" s="38">
        <f t="shared" si="32"/>
        <v>254525</v>
      </c>
      <c r="L73" s="41">
        <f t="shared" si="12"/>
        <v>0.82088318085855028</v>
      </c>
      <c r="M73" s="39">
        <f>87696+1079475</f>
        <v>1167171</v>
      </c>
      <c r="N73" s="41">
        <f t="shared" si="35"/>
        <v>0.82137297677691767</v>
      </c>
      <c r="O73" s="39">
        <v>1421000</v>
      </c>
      <c r="P73" s="41">
        <f t="shared" si="36"/>
        <v>1</v>
      </c>
      <c r="Q73" s="39"/>
      <c r="R73" s="42" t="s">
        <v>127</v>
      </c>
      <c r="S73" s="42" t="s">
        <v>120</v>
      </c>
      <c r="T73" s="98"/>
    </row>
    <row r="74" spans="1:204" s="21" customFormat="1" ht="33" customHeight="1" x14ac:dyDescent="0.2">
      <c r="A74" s="35">
        <v>4</v>
      </c>
      <c r="B74" s="36" t="s">
        <v>48</v>
      </c>
      <c r="C74" s="37">
        <v>3274000</v>
      </c>
      <c r="D74" s="37">
        <f t="shared" si="34"/>
        <v>1238280</v>
      </c>
      <c r="E74" s="38"/>
      <c r="F74" s="39">
        <v>1238280</v>
      </c>
      <c r="G74" s="93"/>
      <c r="H74" s="39">
        <f t="shared" si="33"/>
        <v>1132588</v>
      </c>
      <c r="I74" s="38">
        <f>286279+5120+9199+6950+9035</f>
        <v>316583</v>
      </c>
      <c r="J74" s="38">
        <f>20713+84369+710923</f>
        <v>816005</v>
      </c>
      <c r="K74" s="38">
        <f t="shared" si="32"/>
        <v>105692</v>
      </c>
      <c r="L74" s="41">
        <f t="shared" si="12"/>
        <v>0.91464612204024942</v>
      </c>
      <c r="M74" s="39">
        <v>1132588</v>
      </c>
      <c r="N74" s="41">
        <f t="shared" si="35"/>
        <v>0.91464612204024942</v>
      </c>
      <c r="O74" s="39">
        <f>1238280</f>
        <v>1238280</v>
      </c>
      <c r="P74" s="41">
        <f t="shared" si="36"/>
        <v>1</v>
      </c>
      <c r="Q74" s="39"/>
      <c r="R74" s="42" t="s">
        <v>112</v>
      </c>
      <c r="S74" s="42" t="s">
        <v>120</v>
      </c>
      <c r="T74" s="98"/>
    </row>
    <row r="75" spans="1:204" s="50" customFormat="1" ht="84" customHeight="1" x14ac:dyDescent="0.2">
      <c r="A75" s="35">
        <v>5</v>
      </c>
      <c r="B75" s="36" t="s">
        <v>23</v>
      </c>
      <c r="C75" s="37">
        <v>37311000</v>
      </c>
      <c r="D75" s="37">
        <f t="shared" si="34"/>
        <v>23648104</v>
      </c>
      <c r="E75" s="38">
        <v>6567000</v>
      </c>
      <c r="F75" s="39">
        <f>10348000+7622000</f>
        <v>17970000</v>
      </c>
      <c r="G75" s="59">
        <f>G103</f>
        <v>5678104</v>
      </c>
      <c r="H75" s="39">
        <f t="shared" si="33"/>
        <v>8129095</v>
      </c>
      <c r="I75" s="38">
        <f>647821+69864+245825</f>
        <v>963510</v>
      </c>
      <c r="J75" s="38">
        <v>7165585</v>
      </c>
      <c r="K75" s="38">
        <f t="shared" si="32"/>
        <v>15519009</v>
      </c>
      <c r="L75" s="41">
        <f t="shared" ref="L75:L83" si="37">H75/D75</f>
        <v>0.34375250548627495</v>
      </c>
      <c r="M75" s="39">
        <f>7813406+300000</f>
        <v>8113406</v>
      </c>
      <c r="N75" s="41">
        <f t="shared" si="35"/>
        <v>0.34308906963535007</v>
      </c>
      <c r="O75" s="39">
        <f>D75*70%</f>
        <v>16553672.799999999</v>
      </c>
      <c r="P75" s="41">
        <f>O75/D75</f>
        <v>0.7</v>
      </c>
      <c r="Q75" s="39"/>
      <c r="R75" s="42" t="s">
        <v>156</v>
      </c>
      <c r="S75" s="42" t="s">
        <v>123</v>
      </c>
      <c r="T75" s="43" t="s">
        <v>187</v>
      </c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9"/>
      <c r="AU75" s="49"/>
    </row>
    <row r="76" spans="1:204" s="45" customFormat="1" ht="63.75" customHeight="1" x14ac:dyDescent="0.2">
      <c r="A76" s="35">
        <v>6</v>
      </c>
      <c r="B76" s="36" t="s">
        <v>22</v>
      </c>
      <c r="C76" s="37">
        <v>22000000</v>
      </c>
      <c r="D76" s="37">
        <f t="shared" si="34"/>
        <v>7063592</v>
      </c>
      <c r="E76" s="38">
        <v>3600000</v>
      </c>
      <c r="F76" s="39">
        <v>6500000</v>
      </c>
      <c r="G76" s="59">
        <f>G102</f>
        <v>563592</v>
      </c>
      <c r="H76" s="39">
        <f t="shared" si="33"/>
        <v>3822682</v>
      </c>
      <c r="I76" s="38">
        <f>563592+497880+20273+47477+15486+500000+1950904+93317+65530+23875+44348</f>
        <v>3822682</v>
      </c>
      <c r="J76" s="38">
        <v>0</v>
      </c>
      <c r="K76" s="38">
        <f t="shared" si="32"/>
        <v>3240910</v>
      </c>
      <c r="L76" s="41">
        <f t="shared" si="37"/>
        <v>0.54118103084096592</v>
      </c>
      <c r="M76" s="39">
        <v>7063592</v>
      </c>
      <c r="N76" s="41">
        <f t="shared" si="35"/>
        <v>1</v>
      </c>
      <c r="O76" s="39">
        <f>M76</f>
        <v>7063592</v>
      </c>
      <c r="P76" s="41">
        <f t="shared" si="36"/>
        <v>1</v>
      </c>
      <c r="Q76" s="39"/>
      <c r="R76" s="42" t="s">
        <v>110</v>
      </c>
      <c r="S76" s="42" t="s">
        <v>120</v>
      </c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4"/>
      <c r="AU76" s="44"/>
    </row>
    <row r="77" spans="1:204" s="75" customFormat="1" ht="61.5" customHeight="1" x14ac:dyDescent="0.2">
      <c r="A77" s="35">
        <v>8</v>
      </c>
      <c r="B77" s="36" t="s">
        <v>49</v>
      </c>
      <c r="C77" s="37">
        <v>19707000</v>
      </c>
      <c r="D77" s="37">
        <f t="shared" si="34"/>
        <v>5534000</v>
      </c>
      <c r="E77" s="38">
        <v>0</v>
      </c>
      <c r="F77" s="39">
        <f>4928000+606000</f>
        <v>5534000</v>
      </c>
      <c r="G77" s="40"/>
      <c r="H77" s="39">
        <f>I77+J77</f>
        <v>4894758</v>
      </c>
      <c r="I77" s="39">
        <f>112616+494095+20119+21745+497372+222246+45165+400000</f>
        <v>1813358</v>
      </c>
      <c r="J77" s="38">
        <f>161400+1478000+694000+748000</f>
        <v>3081400</v>
      </c>
      <c r="K77" s="38">
        <f t="shared" si="32"/>
        <v>639242</v>
      </c>
      <c r="L77" s="41">
        <f t="shared" si="37"/>
        <v>0.88448825442717749</v>
      </c>
      <c r="M77" s="39">
        <v>4928000</v>
      </c>
      <c r="N77" s="41">
        <f t="shared" si="35"/>
        <v>0.89049512106975059</v>
      </c>
      <c r="O77" s="39">
        <f>M77</f>
        <v>4928000</v>
      </c>
      <c r="P77" s="41">
        <f t="shared" si="36"/>
        <v>0.89049512106975059</v>
      </c>
      <c r="Q77" s="39"/>
      <c r="R77" s="42" t="s">
        <v>143</v>
      </c>
      <c r="S77" s="42" t="s">
        <v>120</v>
      </c>
      <c r="T77" s="43" t="s">
        <v>187</v>
      </c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4"/>
      <c r="AU77" s="74"/>
    </row>
    <row r="78" spans="1:204" s="12" customFormat="1" ht="40.5" customHeight="1" x14ac:dyDescent="0.2">
      <c r="A78" s="35">
        <v>9</v>
      </c>
      <c r="B78" s="36" t="s">
        <v>50</v>
      </c>
      <c r="C78" s="37">
        <v>9136000</v>
      </c>
      <c r="D78" s="37">
        <f t="shared" si="34"/>
        <v>2159221</v>
      </c>
      <c r="E78" s="38">
        <v>1366000</v>
      </c>
      <c r="F78" s="39">
        <v>1437000</v>
      </c>
      <c r="G78" s="59">
        <f>G91+G93</f>
        <v>722221</v>
      </c>
      <c r="H78" s="39">
        <f t="shared" si="33"/>
        <v>0</v>
      </c>
      <c r="I78" s="39">
        <v>0</v>
      </c>
      <c r="J78" s="38">
        <v>0</v>
      </c>
      <c r="K78" s="38">
        <f t="shared" si="32"/>
        <v>2159221</v>
      </c>
      <c r="L78" s="41">
        <f t="shared" si="37"/>
        <v>0</v>
      </c>
      <c r="M78" s="39">
        <v>0</v>
      </c>
      <c r="N78" s="41">
        <f t="shared" si="35"/>
        <v>0</v>
      </c>
      <c r="O78" s="39">
        <v>2000000</v>
      </c>
      <c r="P78" s="41">
        <f t="shared" si="36"/>
        <v>0.92625997987237063</v>
      </c>
      <c r="Q78" s="39"/>
      <c r="R78" s="42" t="s">
        <v>148</v>
      </c>
      <c r="S78" s="42" t="s">
        <v>149</v>
      </c>
      <c r="T78" s="43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30"/>
      <c r="AU78" s="30"/>
    </row>
    <row r="79" spans="1:204" s="12" customFormat="1" ht="40.5" customHeight="1" x14ac:dyDescent="0.2">
      <c r="A79" s="35">
        <v>10</v>
      </c>
      <c r="B79" s="36" t="s">
        <v>51</v>
      </c>
      <c r="C79" s="37">
        <v>3665000</v>
      </c>
      <c r="D79" s="37">
        <f t="shared" si="34"/>
        <v>2084469</v>
      </c>
      <c r="E79" s="38">
        <v>696000</v>
      </c>
      <c r="F79" s="39">
        <v>1637000</v>
      </c>
      <c r="G79" s="59">
        <f>G97</f>
        <v>447469</v>
      </c>
      <c r="H79" s="39">
        <f t="shared" si="33"/>
        <v>0</v>
      </c>
      <c r="I79" s="39">
        <v>0</v>
      </c>
      <c r="J79" s="38">
        <v>0</v>
      </c>
      <c r="K79" s="38">
        <f t="shared" si="32"/>
        <v>2084469</v>
      </c>
      <c r="L79" s="41">
        <f t="shared" si="37"/>
        <v>0</v>
      </c>
      <c r="M79" s="39">
        <v>0</v>
      </c>
      <c r="N79" s="41">
        <f t="shared" si="35"/>
        <v>0</v>
      </c>
      <c r="O79" s="39">
        <v>1000000</v>
      </c>
      <c r="P79" s="41">
        <f t="shared" si="36"/>
        <v>0.47973848495708021</v>
      </c>
      <c r="Q79" s="39"/>
      <c r="R79" s="42" t="s">
        <v>150</v>
      </c>
      <c r="S79" s="42" t="s">
        <v>149</v>
      </c>
      <c r="T79" s="43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30"/>
      <c r="AU79" s="30"/>
    </row>
    <row r="80" spans="1:204" s="78" customFormat="1" ht="52.5" customHeight="1" x14ac:dyDescent="0.2">
      <c r="A80" s="35">
        <v>11</v>
      </c>
      <c r="B80" s="36" t="s">
        <v>52</v>
      </c>
      <c r="C80" s="37">
        <v>9030000</v>
      </c>
      <c r="D80" s="37">
        <f>F80+G80</f>
        <v>3169325</v>
      </c>
      <c r="E80" s="38">
        <v>1391000</v>
      </c>
      <c r="F80" s="39">
        <v>3105000</v>
      </c>
      <c r="G80" s="59">
        <v>64325</v>
      </c>
      <c r="H80" s="39">
        <f>I80+J80</f>
        <v>3001222</v>
      </c>
      <c r="I80" s="39">
        <f>46286+877000+69151+24841+584966+521978</f>
        <v>2124222</v>
      </c>
      <c r="J80" s="38">
        <v>877000</v>
      </c>
      <c r="K80" s="38">
        <f>D80-H80</f>
        <v>168103</v>
      </c>
      <c r="L80" s="41">
        <f t="shared" si="37"/>
        <v>0.94695936831975258</v>
      </c>
      <c r="M80" s="39">
        <f>I80</f>
        <v>2124222</v>
      </c>
      <c r="N80" s="41">
        <f t="shared" si="35"/>
        <v>0.67024429492084281</v>
      </c>
      <c r="O80" s="39">
        <v>3105000</v>
      </c>
      <c r="P80" s="41">
        <f>O80/D80</f>
        <v>0.97970388016375731</v>
      </c>
      <c r="Q80" s="39">
        <f>584966+521978</f>
        <v>1106944</v>
      </c>
      <c r="R80" s="42" t="s">
        <v>198</v>
      </c>
      <c r="S80" s="42" t="s">
        <v>126</v>
      </c>
      <c r="T80" s="43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7"/>
      <c r="AU80" s="77"/>
    </row>
    <row r="81" spans="1:150" s="45" customFormat="1" ht="40.5" customHeight="1" x14ac:dyDescent="0.2">
      <c r="A81" s="35">
        <v>12</v>
      </c>
      <c r="B81" s="36" t="s">
        <v>53</v>
      </c>
      <c r="C81" s="37">
        <v>3693000</v>
      </c>
      <c r="D81" s="37">
        <f t="shared" si="34"/>
        <v>1282237</v>
      </c>
      <c r="E81" s="38">
        <v>919000</v>
      </c>
      <c r="F81" s="39">
        <v>1135000</v>
      </c>
      <c r="G81" s="59">
        <f>G90+G94</f>
        <v>147237</v>
      </c>
      <c r="H81" s="39">
        <f t="shared" si="33"/>
        <v>6678</v>
      </c>
      <c r="I81" s="39">
        <v>6678</v>
      </c>
      <c r="J81" s="38">
        <v>0</v>
      </c>
      <c r="K81" s="38">
        <f t="shared" si="32"/>
        <v>1275559</v>
      </c>
      <c r="L81" s="41">
        <f t="shared" si="37"/>
        <v>5.2080855567262522E-3</v>
      </c>
      <c r="M81" s="39">
        <v>0</v>
      </c>
      <c r="N81" s="41">
        <f t="shared" si="35"/>
        <v>0</v>
      </c>
      <c r="O81" s="39">
        <v>1000000</v>
      </c>
      <c r="P81" s="41">
        <f t="shared" si="36"/>
        <v>0.77988702556547662</v>
      </c>
      <c r="Q81" s="39"/>
      <c r="R81" s="42" t="s">
        <v>151</v>
      </c>
      <c r="S81" s="42" t="s">
        <v>149</v>
      </c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4"/>
      <c r="AU81" s="44"/>
    </row>
    <row r="82" spans="1:150" s="12" customFormat="1" ht="40.5" customHeight="1" x14ac:dyDescent="0.2">
      <c r="A82" s="35">
        <v>13</v>
      </c>
      <c r="B82" s="36" t="s">
        <v>54</v>
      </c>
      <c r="C82" s="37">
        <v>3939000</v>
      </c>
      <c r="D82" s="37">
        <f t="shared" si="34"/>
        <v>1833503</v>
      </c>
      <c r="E82" s="38">
        <v>696000</v>
      </c>
      <c r="F82" s="39">
        <v>1386000</v>
      </c>
      <c r="G82" s="59">
        <f>G96</f>
        <v>447503</v>
      </c>
      <c r="H82" s="39">
        <f t="shared" si="33"/>
        <v>0</v>
      </c>
      <c r="I82" s="39"/>
      <c r="J82" s="38">
        <v>0</v>
      </c>
      <c r="K82" s="38">
        <f t="shared" si="32"/>
        <v>1833503</v>
      </c>
      <c r="L82" s="41">
        <f t="shared" si="37"/>
        <v>0</v>
      </c>
      <c r="M82" s="39">
        <v>0</v>
      </c>
      <c r="N82" s="41">
        <f t="shared" si="35"/>
        <v>0</v>
      </c>
      <c r="O82" s="39">
        <v>1000000</v>
      </c>
      <c r="P82" s="41">
        <f t="shared" si="36"/>
        <v>0.54540407078690356</v>
      </c>
      <c r="Q82" s="39"/>
      <c r="R82" s="42" t="s">
        <v>152</v>
      </c>
      <c r="S82" s="42" t="s">
        <v>131</v>
      </c>
      <c r="T82" s="43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30"/>
      <c r="AU82" s="30"/>
    </row>
    <row r="83" spans="1:150" s="12" customFormat="1" ht="40.5" customHeight="1" x14ac:dyDescent="0.2">
      <c r="A83" s="35">
        <v>14</v>
      </c>
      <c r="B83" s="36" t="s">
        <v>55</v>
      </c>
      <c r="C83" s="37">
        <v>3939000</v>
      </c>
      <c r="D83" s="37">
        <f t="shared" si="34"/>
        <v>2172820</v>
      </c>
      <c r="E83" s="38">
        <v>1143000</v>
      </c>
      <c r="F83" s="39">
        <v>1439000</v>
      </c>
      <c r="G83" s="59">
        <f>G98+G99</f>
        <v>733820</v>
      </c>
      <c r="H83" s="39">
        <f t="shared" si="33"/>
        <v>0</v>
      </c>
      <c r="I83" s="39"/>
      <c r="J83" s="38"/>
      <c r="K83" s="38">
        <f t="shared" si="32"/>
        <v>2172820</v>
      </c>
      <c r="L83" s="41">
        <f t="shared" si="37"/>
        <v>0</v>
      </c>
      <c r="M83" s="39">
        <v>0</v>
      </c>
      <c r="N83" s="41">
        <f t="shared" si="35"/>
        <v>0</v>
      </c>
      <c r="O83" s="39">
        <v>1000000</v>
      </c>
      <c r="P83" s="41">
        <f t="shared" si="36"/>
        <v>0.46023140435010723</v>
      </c>
      <c r="Q83" s="39"/>
      <c r="R83" s="42" t="s">
        <v>153</v>
      </c>
      <c r="S83" s="42" t="s">
        <v>149</v>
      </c>
      <c r="T83" s="43">
        <f>I83</f>
        <v>0</v>
      </c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30"/>
      <c r="AU83" s="30"/>
    </row>
    <row r="84" spans="1:150" s="45" customFormat="1" ht="42.75" customHeight="1" x14ac:dyDescent="0.2">
      <c r="A84" s="35">
        <v>15</v>
      </c>
      <c r="B84" s="36" t="s">
        <v>56</v>
      </c>
      <c r="C84" s="37">
        <v>5457000</v>
      </c>
      <c r="D84" s="37">
        <f>F84+G84</f>
        <v>2349154</v>
      </c>
      <c r="E84" s="38">
        <v>2467000</v>
      </c>
      <c r="F84" s="39">
        <v>1494000</v>
      </c>
      <c r="G84" s="59">
        <f>G92</f>
        <v>855154</v>
      </c>
      <c r="H84" s="39">
        <f t="shared" si="33"/>
        <v>2345594</v>
      </c>
      <c r="I84" s="39">
        <f>49765+1375876+54237+865716</f>
        <v>2345594</v>
      </c>
      <c r="J84" s="38"/>
      <c r="K84" s="38">
        <f t="shared" si="32"/>
        <v>3560</v>
      </c>
      <c r="L84" s="41">
        <f t="shared" si="12"/>
        <v>0.99848456082487569</v>
      </c>
      <c r="M84" s="39">
        <f>I84</f>
        <v>2345594</v>
      </c>
      <c r="N84" s="41">
        <f t="shared" si="35"/>
        <v>0.99848456082487569</v>
      </c>
      <c r="O84" s="39">
        <f>D84*92%</f>
        <v>2161221.6800000002</v>
      </c>
      <c r="P84" s="41">
        <f t="shared" si="36"/>
        <v>0.92</v>
      </c>
      <c r="Q84" s="39"/>
      <c r="R84" s="42" t="s">
        <v>113</v>
      </c>
      <c r="S84" s="42" t="s">
        <v>126</v>
      </c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4"/>
      <c r="AU84" s="44"/>
    </row>
    <row r="85" spans="1:150" s="15" customFormat="1" ht="18.75" hidden="1" customHeight="1" x14ac:dyDescent="0.2">
      <c r="A85" s="87" t="s">
        <v>14</v>
      </c>
      <c r="B85" s="87" t="s">
        <v>80</v>
      </c>
      <c r="C85" s="37"/>
      <c r="D85" s="93" t="e">
        <f>D86</f>
        <v>#REF!</v>
      </c>
      <c r="E85" s="93"/>
      <c r="F85" s="93" t="e">
        <f t="shared" ref="F85:K85" si="38">F86</f>
        <v>#REF!</v>
      </c>
      <c r="G85" s="93" t="e">
        <f t="shared" si="38"/>
        <v>#REF!</v>
      </c>
      <c r="H85" s="93" t="e">
        <f t="shared" si="38"/>
        <v>#REF!</v>
      </c>
      <c r="I85" s="93" t="e">
        <f t="shared" si="38"/>
        <v>#REF!</v>
      </c>
      <c r="J85" s="93" t="e">
        <f t="shared" si="38"/>
        <v>#REF!</v>
      </c>
      <c r="K85" s="93" t="e">
        <f t="shared" si="38"/>
        <v>#REF!</v>
      </c>
      <c r="L85" s="64" t="e">
        <f>#REF!/D85</f>
        <v>#REF!</v>
      </c>
      <c r="M85" s="61" t="e">
        <f>G85*90%</f>
        <v>#REF!</v>
      </c>
      <c r="N85" s="108" t="e">
        <f>M85/G85</f>
        <v>#REF!</v>
      </c>
      <c r="O85" s="61" t="e">
        <f>H85*90%</f>
        <v>#REF!</v>
      </c>
      <c r="P85" s="108" t="e">
        <f>O85/H85</f>
        <v>#REF!</v>
      </c>
      <c r="Q85" s="109"/>
      <c r="R85" s="109"/>
      <c r="S85" s="109"/>
      <c r="T85" s="88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</row>
    <row r="86" spans="1:150" s="19" customFormat="1" ht="17.25" hidden="1" customHeight="1" x14ac:dyDescent="0.2">
      <c r="A86" s="117" t="s">
        <v>7</v>
      </c>
      <c r="B86" s="118"/>
      <c r="C86" s="37"/>
      <c r="D86" s="93" t="e">
        <f>D87+D89+#REF!</f>
        <v>#REF!</v>
      </c>
      <c r="E86" s="93"/>
      <c r="F86" s="93" t="e">
        <f>F87+F89+#REF!</f>
        <v>#REF!</v>
      </c>
      <c r="G86" s="93" t="e">
        <f>G87+G89+#REF!</f>
        <v>#REF!</v>
      </c>
      <c r="H86" s="93" t="e">
        <f>H87+H89+#REF!</f>
        <v>#REF!</v>
      </c>
      <c r="I86" s="93" t="e">
        <f>I87+I89+#REF!</f>
        <v>#REF!</v>
      </c>
      <c r="J86" s="93" t="e">
        <f>J87+J89+#REF!</f>
        <v>#REF!</v>
      </c>
      <c r="K86" s="93" t="e">
        <f>K87+K89+#REF!</f>
        <v>#REF!</v>
      </c>
      <c r="L86" s="64" t="e">
        <f>#REF!/D86</f>
        <v>#REF!</v>
      </c>
      <c r="M86" s="61" t="e">
        <f>G86*90%</f>
        <v>#REF!</v>
      </c>
      <c r="N86" s="108" t="e">
        <f>M86/G86</f>
        <v>#REF!</v>
      </c>
      <c r="O86" s="61" t="e">
        <f>H86*90%</f>
        <v>#REF!</v>
      </c>
      <c r="P86" s="108" t="e">
        <f>O86/H86</f>
        <v>#REF!</v>
      </c>
      <c r="Q86" s="109"/>
      <c r="R86" s="109"/>
      <c r="S86" s="109"/>
      <c r="T86" s="98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5"/>
    </row>
    <row r="87" spans="1:150" s="19" customFormat="1" ht="20.25" hidden="1" customHeight="1" x14ac:dyDescent="0.2">
      <c r="A87" s="87" t="s">
        <v>17</v>
      </c>
      <c r="B87" s="96" t="s">
        <v>16</v>
      </c>
      <c r="C87" s="37"/>
      <c r="D87" s="92">
        <f>F87+G87</f>
        <v>7694119</v>
      </c>
      <c r="E87" s="92"/>
      <c r="F87" s="92">
        <f t="shared" ref="F87:K87" si="39">SUM(F59:F69)</f>
        <v>0</v>
      </c>
      <c r="G87" s="92">
        <f t="shared" si="39"/>
        <v>7694119</v>
      </c>
      <c r="H87" s="92">
        <f t="shared" si="39"/>
        <v>5742044</v>
      </c>
      <c r="I87" s="92">
        <f t="shared" si="39"/>
        <v>5742044</v>
      </c>
      <c r="J87" s="92">
        <f t="shared" si="39"/>
        <v>0</v>
      </c>
      <c r="K87" s="92">
        <f t="shared" si="39"/>
        <v>1952075</v>
      </c>
      <c r="L87" s="64" t="e">
        <f>#REF!/D87</f>
        <v>#REF!</v>
      </c>
      <c r="M87" s="61">
        <f>G87*90%</f>
        <v>6924707.1000000006</v>
      </c>
      <c r="N87" s="108">
        <f>M87/G87</f>
        <v>0.9</v>
      </c>
      <c r="O87" s="61">
        <f>H87*90%</f>
        <v>5167839.6000000006</v>
      </c>
      <c r="P87" s="108">
        <f>O87/H87</f>
        <v>0.90000000000000013</v>
      </c>
      <c r="Q87" s="109"/>
      <c r="R87" s="109"/>
      <c r="S87" s="109"/>
      <c r="T87" s="98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</row>
    <row r="89" spans="1:150" s="19" customFormat="1" ht="34.5" hidden="1" customHeight="1" x14ac:dyDescent="0.2">
      <c r="A89" s="26" t="s">
        <v>68</v>
      </c>
      <c r="B89" s="22" t="s">
        <v>19</v>
      </c>
      <c r="C89" s="11"/>
      <c r="D89" s="16">
        <f>F89+G89</f>
        <v>10533428</v>
      </c>
      <c r="E89" s="16"/>
      <c r="F89" s="2">
        <f t="shared" ref="F89:K89" si="40">SUM(F90:F103)</f>
        <v>0</v>
      </c>
      <c r="G89" s="2">
        <f t="shared" si="40"/>
        <v>10533428</v>
      </c>
      <c r="H89" s="2">
        <f t="shared" si="40"/>
        <v>0</v>
      </c>
      <c r="I89" s="2">
        <f t="shared" si="40"/>
        <v>0</v>
      </c>
      <c r="J89" s="2">
        <f t="shared" si="40"/>
        <v>0</v>
      </c>
      <c r="K89" s="2" t="e">
        <f t="shared" si="40"/>
        <v>#REF!</v>
      </c>
      <c r="L89" s="17" t="e">
        <f>#REF!/D89</f>
        <v>#REF!</v>
      </c>
      <c r="M89" s="23"/>
      <c r="N89" s="23"/>
      <c r="O89" s="23"/>
      <c r="P89" s="23"/>
      <c r="Q89" s="24"/>
      <c r="R89" s="24"/>
      <c r="S89" s="24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5"/>
    </row>
    <row r="90" spans="1:150" s="21" customFormat="1" ht="33" hidden="1" customHeight="1" x14ac:dyDescent="0.2">
      <c r="A90" s="9">
        <v>1</v>
      </c>
      <c r="B90" s="10" t="s">
        <v>69</v>
      </c>
      <c r="C90" s="11"/>
      <c r="D90" s="11">
        <f>F90+G90</f>
        <v>140559</v>
      </c>
      <c r="E90" s="11"/>
      <c r="F90" s="1"/>
      <c r="G90" s="1">
        <v>140559</v>
      </c>
      <c r="H90" s="14">
        <f t="shared" ref="H90:H103" si="41">I90+J90</f>
        <v>0</v>
      </c>
      <c r="I90" s="14"/>
      <c r="J90" s="11"/>
      <c r="K90" s="11" t="e">
        <f>#REF!+#REF!</f>
        <v>#REF!</v>
      </c>
      <c r="L90" s="17" t="e">
        <f>#REF!/D90</f>
        <v>#REF!</v>
      </c>
      <c r="M90" s="23"/>
      <c r="N90" s="23"/>
      <c r="O90" s="23"/>
      <c r="P90" s="23"/>
      <c r="Q90" s="24"/>
      <c r="R90" s="24"/>
      <c r="S90" s="24"/>
    </row>
    <row r="91" spans="1:150" s="21" customFormat="1" ht="35.25" hidden="1" customHeight="1" x14ac:dyDescent="0.2">
      <c r="A91" s="9">
        <v>2</v>
      </c>
      <c r="B91" s="10" t="s">
        <v>70</v>
      </c>
      <c r="C91" s="11"/>
      <c r="D91" s="11">
        <f t="shared" ref="D91:D103" si="42">F91+G91</f>
        <v>274568</v>
      </c>
      <c r="E91" s="11"/>
      <c r="F91" s="1"/>
      <c r="G91" s="1">
        <v>274568</v>
      </c>
      <c r="H91" s="14">
        <f t="shared" si="41"/>
        <v>0</v>
      </c>
      <c r="I91" s="11"/>
      <c r="J91" s="11"/>
      <c r="K91" s="11" t="e">
        <f>#REF!+#REF!</f>
        <v>#REF!</v>
      </c>
      <c r="L91" s="17" t="e">
        <f>#REF!/D91</f>
        <v>#REF!</v>
      </c>
      <c r="M91" s="23"/>
      <c r="N91" s="23"/>
      <c r="O91" s="23"/>
      <c r="P91" s="23"/>
      <c r="Q91" s="24"/>
      <c r="R91" s="24"/>
      <c r="S91" s="24"/>
    </row>
    <row r="92" spans="1:150" s="21" customFormat="1" ht="35.25" hidden="1" customHeight="1" x14ac:dyDescent="0.2">
      <c r="A92" s="9">
        <v>3</v>
      </c>
      <c r="B92" s="10" t="s">
        <v>71</v>
      </c>
      <c r="C92" s="11"/>
      <c r="D92" s="11">
        <f t="shared" si="42"/>
        <v>855154</v>
      </c>
      <c r="E92" s="11"/>
      <c r="F92" s="1"/>
      <c r="G92" s="1">
        <v>855154</v>
      </c>
      <c r="H92" s="14">
        <f t="shared" si="41"/>
        <v>0</v>
      </c>
      <c r="I92" s="11"/>
      <c r="J92" s="11"/>
      <c r="K92" s="11" t="e">
        <f>#REF!+#REF!</f>
        <v>#REF!</v>
      </c>
      <c r="L92" s="17" t="e">
        <f>#REF!/D92</f>
        <v>#REF!</v>
      </c>
      <c r="M92" s="23"/>
      <c r="N92" s="23"/>
      <c r="O92" s="23"/>
      <c r="P92" s="23"/>
      <c r="Q92" s="24"/>
      <c r="R92" s="24"/>
      <c r="S92" s="24"/>
    </row>
    <row r="93" spans="1:150" s="21" customFormat="1" ht="32.25" hidden="1" customHeight="1" x14ac:dyDescent="0.2">
      <c r="A93" s="9">
        <v>4</v>
      </c>
      <c r="B93" s="10" t="s">
        <v>72</v>
      </c>
      <c r="C93" s="11"/>
      <c r="D93" s="11">
        <f t="shared" si="42"/>
        <v>447653</v>
      </c>
      <c r="E93" s="11"/>
      <c r="F93" s="1"/>
      <c r="G93" s="1">
        <v>447653</v>
      </c>
      <c r="H93" s="14">
        <f t="shared" si="41"/>
        <v>0</v>
      </c>
      <c r="I93" s="11"/>
      <c r="J93" s="11"/>
      <c r="K93" s="11" t="e">
        <f>#REF!+#REF!</f>
        <v>#REF!</v>
      </c>
      <c r="L93" s="17" t="e">
        <f>#REF!/D93</f>
        <v>#REF!</v>
      </c>
      <c r="M93" s="23"/>
      <c r="N93" s="23"/>
      <c r="O93" s="23"/>
      <c r="P93" s="23"/>
      <c r="Q93" s="24"/>
      <c r="R93" s="24"/>
      <c r="S93" s="24"/>
    </row>
    <row r="94" spans="1:150" s="12" customFormat="1" ht="26.25" hidden="1" customHeight="1" x14ac:dyDescent="0.2">
      <c r="A94" s="9">
        <v>5</v>
      </c>
      <c r="B94" s="10" t="s">
        <v>73</v>
      </c>
      <c r="C94" s="11"/>
      <c r="D94" s="11">
        <f t="shared" si="42"/>
        <v>6678</v>
      </c>
      <c r="E94" s="11"/>
      <c r="F94" s="1"/>
      <c r="G94" s="1">
        <v>6678</v>
      </c>
      <c r="H94" s="14">
        <f t="shared" si="41"/>
        <v>0</v>
      </c>
      <c r="I94" s="11"/>
      <c r="J94" s="11"/>
      <c r="K94" s="11" t="e">
        <f>#REF!+#REF!</f>
        <v>#REF!</v>
      </c>
      <c r="L94" s="17" t="e">
        <f>#REF!/D94</f>
        <v>#REF!</v>
      </c>
      <c r="M94" s="31"/>
      <c r="N94" s="31"/>
      <c r="O94" s="31"/>
      <c r="P94" s="31"/>
      <c r="Q94" s="30"/>
      <c r="R94" s="30"/>
      <c r="S94" s="30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30"/>
      <c r="AU94" s="30"/>
    </row>
    <row r="95" spans="1:150" s="12" customFormat="1" ht="33" hidden="1" customHeight="1" x14ac:dyDescent="0.2">
      <c r="A95" s="9">
        <v>6</v>
      </c>
      <c r="B95" s="10" t="s">
        <v>74</v>
      </c>
      <c r="C95" s="11"/>
      <c r="D95" s="11">
        <f t="shared" si="42"/>
        <v>64825</v>
      </c>
      <c r="E95" s="11"/>
      <c r="F95" s="1"/>
      <c r="G95" s="1">
        <v>64825</v>
      </c>
      <c r="H95" s="14">
        <f>I95+J95</f>
        <v>0</v>
      </c>
      <c r="I95" s="11">
        <v>0</v>
      </c>
      <c r="J95" s="11"/>
      <c r="K95" s="11" t="e">
        <f>#REF!+#REF!</f>
        <v>#REF!</v>
      </c>
      <c r="L95" s="17" t="e">
        <f>#REF!/D95</f>
        <v>#REF!</v>
      </c>
      <c r="M95" s="31"/>
      <c r="N95" s="31"/>
      <c r="O95" s="31"/>
      <c r="P95" s="31"/>
      <c r="Q95" s="30"/>
      <c r="R95" s="30"/>
      <c r="S95" s="30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30"/>
      <c r="AU95" s="30"/>
    </row>
    <row r="96" spans="1:150" s="12" customFormat="1" ht="33" hidden="1" customHeight="1" x14ac:dyDescent="0.2">
      <c r="A96" s="9">
        <v>7</v>
      </c>
      <c r="B96" s="10" t="s">
        <v>75</v>
      </c>
      <c r="C96" s="11"/>
      <c r="D96" s="11">
        <f t="shared" si="42"/>
        <v>447503</v>
      </c>
      <c r="E96" s="11"/>
      <c r="F96" s="1"/>
      <c r="G96" s="1">
        <v>447503</v>
      </c>
      <c r="H96" s="14">
        <f t="shared" si="41"/>
        <v>0</v>
      </c>
      <c r="I96" s="11"/>
      <c r="J96" s="11"/>
      <c r="K96" s="11" t="e">
        <f>#REF!+#REF!</f>
        <v>#REF!</v>
      </c>
      <c r="L96" s="17" t="e">
        <f>#REF!/D96</f>
        <v>#REF!</v>
      </c>
      <c r="M96" s="31"/>
      <c r="N96" s="31"/>
      <c r="O96" s="31"/>
      <c r="P96" s="31"/>
      <c r="Q96" s="30"/>
      <c r="R96" s="30"/>
      <c r="S96" s="30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30"/>
      <c r="AU96" s="30"/>
    </row>
    <row r="97" spans="1:144" s="12" customFormat="1" ht="33" hidden="1" customHeight="1" x14ac:dyDescent="0.2">
      <c r="A97" s="9">
        <v>8</v>
      </c>
      <c r="B97" s="10" t="s">
        <v>76</v>
      </c>
      <c r="C97" s="11"/>
      <c r="D97" s="11">
        <f t="shared" si="42"/>
        <v>447469</v>
      </c>
      <c r="E97" s="11"/>
      <c r="F97" s="1"/>
      <c r="G97" s="1">
        <v>447469</v>
      </c>
      <c r="H97" s="14">
        <f t="shared" si="41"/>
        <v>0</v>
      </c>
      <c r="I97" s="11"/>
      <c r="J97" s="11"/>
      <c r="K97" s="11" t="e">
        <f>#REF!+#REF!</f>
        <v>#REF!</v>
      </c>
      <c r="L97" s="17" t="e">
        <f>#REF!/D97</f>
        <v>#REF!</v>
      </c>
      <c r="M97" s="31"/>
      <c r="N97" s="31"/>
      <c r="O97" s="31"/>
      <c r="P97" s="31"/>
      <c r="Q97" s="30"/>
      <c r="R97" s="30"/>
      <c r="S97" s="30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30"/>
      <c r="AU97" s="30"/>
    </row>
    <row r="98" spans="1:144" s="12" customFormat="1" ht="33" hidden="1" customHeight="1" x14ac:dyDescent="0.2">
      <c r="A98" s="9">
        <v>9</v>
      </c>
      <c r="B98" s="10" t="s">
        <v>77</v>
      </c>
      <c r="C98" s="11"/>
      <c r="D98" s="11">
        <f t="shared" si="42"/>
        <v>286221</v>
      </c>
      <c r="E98" s="11"/>
      <c r="F98" s="1"/>
      <c r="G98" s="1">
        <v>286221</v>
      </c>
      <c r="H98" s="14">
        <f t="shared" si="41"/>
        <v>0</v>
      </c>
      <c r="I98" s="14"/>
      <c r="J98" s="11"/>
      <c r="K98" s="11" t="e">
        <f>#REF!+#REF!</f>
        <v>#REF!</v>
      </c>
      <c r="L98" s="17" t="e">
        <f>#REF!/D98</f>
        <v>#REF!</v>
      </c>
      <c r="M98" s="31"/>
      <c r="N98" s="31"/>
      <c r="O98" s="31"/>
      <c r="P98" s="31"/>
      <c r="Q98" s="30"/>
      <c r="R98" s="30"/>
      <c r="S98" s="30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30"/>
      <c r="AU98" s="30"/>
    </row>
    <row r="99" spans="1:144" s="12" customFormat="1" ht="33" hidden="1" customHeight="1" x14ac:dyDescent="0.2">
      <c r="A99" s="9">
        <v>10</v>
      </c>
      <c r="B99" s="10" t="s">
        <v>78</v>
      </c>
      <c r="C99" s="11"/>
      <c r="D99" s="11">
        <f t="shared" si="42"/>
        <v>447599</v>
      </c>
      <c r="E99" s="11"/>
      <c r="F99" s="1"/>
      <c r="G99" s="1">
        <v>447599</v>
      </c>
      <c r="H99" s="14">
        <f t="shared" si="41"/>
        <v>0</v>
      </c>
      <c r="I99" s="14"/>
      <c r="J99" s="11"/>
      <c r="K99" s="11" t="e">
        <f>#REF!+#REF!</f>
        <v>#REF!</v>
      </c>
      <c r="L99" s="17" t="e">
        <f>#REF!/D99</f>
        <v>#REF!</v>
      </c>
      <c r="M99" s="31"/>
      <c r="N99" s="31"/>
      <c r="O99" s="31"/>
      <c r="P99" s="31"/>
      <c r="Q99" s="30"/>
      <c r="R99" s="30"/>
      <c r="S99" s="30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30"/>
      <c r="AU99" s="30"/>
    </row>
    <row r="100" spans="1:144" s="12" customFormat="1" ht="33" hidden="1" customHeight="1" x14ac:dyDescent="0.2">
      <c r="A100" s="9">
        <v>11</v>
      </c>
      <c r="B100" s="10" t="s">
        <v>79</v>
      </c>
      <c r="C100" s="11">
        <v>3274000</v>
      </c>
      <c r="D100" s="11">
        <f t="shared" si="42"/>
        <v>589262</v>
      </c>
      <c r="E100" s="11"/>
      <c r="F100" s="1"/>
      <c r="G100" s="1">
        <v>589262</v>
      </c>
      <c r="H100" s="14">
        <f t="shared" si="41"/>
        <v>0</v>
      </c>
      <c r="I100" s="14"/>
      <c r="J100" s="11"/>
      <c r="K100" s="11" t="e">
        <f>#REF!+#REF!</f>
        <v>#REF!</v>
      </c>
      <c r="L100" s="17" t="e">
        <f>#REF!/D100</f>
        <v>#REF!</v>
      </c>
      <c r="M100" s="31"/>
      <c r="N100" s="31"/>
      <c r="O100" s="31"/>
      <c r="P100" s="31"/>
      <c r="Q100" s="30"/>
      <c r="R100" s="30"/>
      <c r="S100" s="30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30"/>
      <c r="AU100" s="30"/>
    </row>
    <row r="101" spans="1:144" s="12" customFormat="1" ht="33" hidden="1" customHeight="1" x14ac:dyDescent="0.2">
      <c r="A101" s="9">
        <v>12</v>
      </c>
      <c r="B101" s="10" t="s">
        <v>21</v>
      </c>
      <c r="C101" s="11">
        <v>3274000</v>
      </c>
      <c r="D101" s="11">
        <f t="shared" si="42"/>
        <v>284241</v>
      </c>
      <c r="E101" s="11"/>
      <c r="F101" s="1"/>
      <c r="G101" s="1">
        <v>284241</v>
      </c>
      <c r="H101" s="14">
        <f t="shared" si="41"/>
        <v>0</v>
      </c>
      <c r="I101" s="14"/>
      <c r="J101" s="11"/>
      <c r="K101" s="11" t="e">
        <f>#REF!+#REF!</f>
        <v>#REF!</v>
      </c>
      <c r="L101" s="17" t="e">
        <f>#REF!/D101</f>
        <v>#REF!</v>
      </c>
      <c r="M101" s="31"/>
      <c r="N101" s="31"/>
      <c r="O101" s="31"/>
      <c r="P101" s="31"/>
      <c r="Q101" s="30"/>
      <c r="R101" s="30"/>
      <c r="S101" s="30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30"/>
      <c r="AU101" s="30"/>
    </row>
    <row r="102" spans="1:144" s="12" customFormat="1" ht="33" hidden="1" customHeight="1" x14ac:dyDescent="0.2">
      <c r="A102" s="9">
        <v>14</v>
      </c>
      <c r="B102" s="10" t="s">
        <v>22</v>
      </c>
      <c r="C102" s="11">
        <v>37311000</v>
      </c>
      <c r="D102" s="11">
        <f t="shared" si="42"/>
        <v>563592</v>
      </c>
      <c r="E102" s="11"/>
      <c r="F102" s="1"/>
      <c r="G102" s="1">
        <v>563592</v>
      </c>
      <c r="H102" s="14">
        <f t="shared" si="41"/>
        <v>0</v>
      </c>
      <c r="I102" s="14"/>
      <c r="J102" s="11"/>
      <c r="K102" s="11" t="e">
        <f>#REF!+#REF!</f>
        <v>#REF!</v>
      </c>
      <c r="L102" s="17" t="e">
        <f>#REF!/D102</f>
        <v>#REF!</v>
      </c>
      <c r="M102" s="31"/>
      <c r="N102" s="31"/>
      <c r="O102" s="31"/>
      <c r="P102" s="31"/>
      <c r="Q102" s="30"/>
      <c r="R102" s="30"/>
      <c r="S102" s="30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30"/>
      <c r="AU102" s="30"/>
    </row>
    <row r="103" spans="1:144" s="12" customFormat="1" ht="33" hidden="1" customHeight="1" x14ac:dyDescent="0.2">
      <c r="A103" s="9">
        <v>15</v>
      </c>
      <c r="B103" s="10" t="s">
        <v>23</v>
      </c>
      <c r="C103" s="11">
        <v>22000000</v>
      </c>
      <c r="D103" s="11">
        <f t="shared" si="42"/>
        <v>5678104</v>
      </c>
      <c r="E103" s="11"/>
      <c r="F103" s="1"/>
      <c r="G103" s="1">
        <v>5678104</v>
      </c>
      <c r="H103" s="14">
        <f t="shared" si="41"/>
        <v>0</v>
      </c>
      <c r="I103" s="14">
        <v>0</v>
      </c>
      <c r="J103" s="11"/>
      <c r="K103" s="11" t="e">
        <f>#REF!+#REF!</f>
        <v>#REF!</v>
      </c>
      <c r="L103" s="17" t="e">
        <f>#REF!/D103</f>
        <v>#REF!</v>
      </c>
      <c r="M103" s="31"/>
      <c r="N103" s="31"/>
      <c r="O103" s="31"/>
      <c r="P103" s="31"/>
      <c r="Q103" s="30"/>
      <c r="R103" s="30"/>
      <c r="S103" s="30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30"/>
      <c r="AU103" s="30"/>
    </row>
    <row r="104" spans="1:144" x14ac:dyDescent="0.2">
      <c r="F104" s="32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</row>
    <row r="105" spans="1:144" x14ac:dyDescent="0.2">
      <c r="F105" s="32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</row>
    <row r="106" spans="1:144" x14ac:dyDescent="0.2">
      <c r="F106" s="32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</row>
    <row r="107" spans="1:144" x14ac:dyDescent="0.2">
      <c r="F107" s="32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</row>
    <row r="108" spans="1:144" x14ac:dyDescent="0.2">
      <c r="F108" s="32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</row>
    <row r="109" spans="1:144" x14ac:dyDescent="0.2">
      <c r="F109" s="32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</row>
    <row r="110" spans="1:144" x14ac:dyDescent="0.2">
      <c r="F110" s="32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</row>
    <row r="111" spans="1:144" x14ac:dyDescent="0.2"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</row>
    <row r="112" spans="1:144" x14ac:dyDescent="0.2"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</row>
    <row r="113" spans="2:144" x14ac:dyDescent="0.2">
      <c r="B113" s="34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</row>
    <row r="114" spans="2:144" x14ac:dyDescent="0.2">
      <c r="B114" s="34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</row>
    <row r="115" spans="2:144" x14ac:dyDescent="0.2"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</row>
    <row r="116" spans="2:144" x14ac:dyDescent="0.2"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</row>
    <row r="117" spans="2:144" x14ac:dyDescent="0.2"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</row>
    <row r="118" spans="2:144" x14ac:dyDescent="0.2"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</row>
    <row r="119" spans="2:144" x14ac:dyDescent="0.2"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</row>
    <row r="120" spans="2:144" x14ac:dyDescent="0.2"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</row>
    <row r="121" spans="2:144" x14ac:dyDescent="0.2"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</row>
    <row r="122" spans="2:144" x14ac:dyDescent="0.2"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</row>
    <row r="123" spans="2:144" x14ac:dyDescent="0.2"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</row>
    <row r="124" spans="2:144" x14ac:dyDescent="0.2"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</row>
    <row r="125" spans="2:144" x14ac:dyDescent="0.2"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</row>
    <row r="126" spans="2:144" x14ac:dyDescent="0.2"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</row>
    <row r="127" spans="2:144" x14ac:dyDescent="0.2"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</row>
    <row r="128" spans="2:144" x14ac:dyDescent="0.2"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</row>
    <row r="129" spans="46:144" x14ac:dyDescent="0.2"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</row>
    <row r="130" spans="46:144" x14ac:dyDescent="0.2"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</row>
  </sheetData>
  <mergeCells count="31">
    <mergeCell ref="A86:B86"/>
    <mergeCell ref="A11:B11"/>
    <mergeCell ref="A16:B16"/>
    <mergeCell ref="K7:K8"/>
    <mergeCell ref="A6:A8"/>
    <mergeCell ref="G7:G8"/>
    <mergeCell ref="C6:G6"/>
    <mergeCell ref="H6:J7"/>
    <mergeCell ref="F7:F8"/>
    <mergeCell ref="N1:P1"/>
    <mergeCell ref="O7:O8"/>
    <mergeCell ref="A3:S3"/>
    <mergeCell ref="A4:S4"/>
    <mergeCell ref="M7:M8"/>
    <mergeCell ref="L7:L8"/>
    <mergeCell ref="P7:P8"/>
    <mergeCell ref="A2:S2"/>
    <mergeCell ref="Q6:Q8"/>
    <mergeCell ref="N5:P5"/>
    <mergeCell ref="N7:N8"/>
    <mergeCell ref="S6:S8"/>
    <mergeCell ref="A1:L1"/>
    <mergeCell ref="D7:D8"/>
    <mergeCell ref="B6:B8"/>
    <mergeCell ref="C7:C8"/>
    <mergeCell ref="J5:L5"/>
    <mergeCell ref="M6:P6"/>
    <mergeCell ref="R6:R8"/>
    <mergeCell ref="R5:S5"/>
    <mergeCell ref="E7:E8"/>
    <mergeCell ref="K6:L6"/>
  </mergeCells>
  <phoneticPr fontId="0" type="noConversion"/>
  <pageMargins left="0.19685039370078741" right="0" top="0.19685039370078741" bottom="7.874015748031496E-2" header="0.19685039370078741" footer="0.19685039370078741"/>
  <pageSetup paperSize="9" scale="60" orientation="landscape" r:id="rId1"/>
  <headerFooter alignWithMargins="0">
    <oddFooter>&amp;R&amp;"Arial,Italic"Trang &amp;P</oddFooter>
  </headerFooter>
  <rowBreaks count="1" manualBreakCount="1">
    <brk id="84" max="203" man="1"/>
  </rowBreaks>
  <colBreaks count="2" manualBreakCount="2">
    <brk id="19" max="1048575" man="1"/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"/>
  <sheetViews>
    <sheetView view="pageBreakPreview" zoomScale="106" zoomScaleNormal="100" zoomScaleSheetLayoutView="106" workbookViewId="0">
      <selection activeCell="D15" sqref="D15"/>
    </sheetView>
  </sheetViews>
  <sheetFormatPr defaultColWidth="9.140625" defaultRowHeight="12.75" x14ac:dyDescent="0.2"/>
  <cols>
    <col min="1" max="1" width="8.140625" style="3" customWidth="1"/>
    <col min="2" max="2" width="23.42578125" style="3" customWidth="1"/>
    <col min="3" max="3" width="16.42578125" style="3" customWidth="1"/>
    <col min="4" max="4" width="16.28515625" style="3" customWidth="1"/>
    <col min="5" max="5" width="16.42578125" style="3" customWidth="1"/>
    <col min="6" max="6" width="17.28515625" style="3" customWidth="1"/>
    <col min="7" max="7" width="16.42578125" style="3" customWidth="1"/>
    <col min="8" max="16384" width="9.140625" style="3"/>
  </cols>
  <sheetData>
    <row r="3" spans="1:7" ht="37.5" x14ac:dyDescent="0.2">
      <c r="A3" s="4" t="s">
        <v>157</v>
      </c>
      <c r="B3" s="5" t="s">
        <v>158</v>
      </c>
      <c r="C3" s="5" t="s">
        <v>159</v>
      </c>
      <c r="D3" s="5" t="s">
        <v>160</v>
      </c>
      <c r="E3" s="5" t="s">
        <v>161</v>
      </c>
      <c r="F3" s="5" t="s">
        <v>162</v>
      </c>
    </row>
    <row r="4" spans="1:7" ht="18.75" x14ac:dyDescent="0.2">
      <c r="A4" s="6">
        <v>1</v>
      </c>
      <c r="B4" s="5" t="s">
        <v>163</v>
      </c>
      <c r="C4" s="7">
        <f>'Báo cáo GN 2023'!D11</f>
        <v>23270000</v>
      </c>
      <c r="D4" s="7">
        <f>'Báo cáo GN 2023'!H11</f>
        <v>11014769.120000001</v>
      </c>
      <c r="E4" s="7">
        <f>'Báo cáo GN 2023'!K11</f>
        <v>12255230.879999999</v>
      </c>
      <c r="F4" s="8">
        <f>D4/C4</f>
        <v>0.47334633089815215</v>
      </c>
      <c r="G4" s="46"/>
    </row>
    <row r="5" spans="1:7" ht="18.75" x14ac:dyDescent="0.2">
      <c r="A5" s="6">
        <v>2</v>
      </c>
      <c r="B5" s="5" t="s">
        <v>164</v>
      </c>
      <c r="C5" s="7">
        <f>'Báo cáo GN 2023'!D16</f>
        <v>127951579.80000001</v>
      </c>
      <c r="D5" s="7">
        <f>'Báo cáo GN 2023'!H16</f>
        <v>54131726.571999997</v>
      </c>
      <c r="E5" s="7">
        <f>'Báo cáo GN 2023'!K16</f>
        <v>73819853.228</v>
      </c>
      <c r="F5" s="8">
        <f>D5/C5</f>
        <v>0.42306415174093842</v>
      </c>
      <c r="G5" s="46"/>
    </row>
    <row r="6" spans="1:7" ht="18.75" x14ac:dyDescent="0.2">
      <c r="A6" s="132" t="s">
        <v>165</v>
      </c>
      <c r="B6" s="133"/>
      <c r="C6" s="7">
        <f>C4+C5</f>
        <v>151221579.80000001</v>
      </c>
      <c r="D6" s="7">
        <f>D4+D5</f>
        <v>65146495.692000002</v>
      </c>
      <c r="E6" s="7">
        <f>E4+E5</f>
        <v>86075084.107999995</v>
      </c>
      <c r="F6" s="8">
        <f>D6/C6</f>
        <v>0.43080158121718021</v>
      </c>
    </row>
    <row r="9" spans="1:7" x14ac:dyDescent="0.2">
      <c r="D9" s="46"/>
    </row>
    <row r="10" spans="1:7" x14ac:dyDescent="0.2">
      <c r="D10" s="46"/>
    </row>
  </sheetData>
  <mergeCells count="1">
    <mergeCell ref="A6:B6"/>
  </mergeCell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Báo cáo GN 2023</vt:lpstr>
      <vt:lpstr>Sheet1</vt:lpstr>
      <vt:lpstr>'Báo cáo GN 2023'!Print_Area</vt:lpstr>
      <vt:lpstr>'Báo cáo GN 2023'!Print_Titles</vt:lpstr>
    </vt:vector>
  </TitlesOfParts>
  <Company>http://viet4room.com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An</dc:creator>
  <cp:lastModifiedBy>Admin</cp:lastModifiedBy>
  <cp:lastPrinted>2023-10-20T08:22:33Z</cp:lastPrinted>
  <dcterms:created xsi:type="dcterms:W3CDTF">2013-01-04T15:02:14Z</dcterms:created>
  <dcterms:modified xsi:type="dcterms:W3CDTF">2023-10-20T08:23:14Z</dcterms:modified>
</cp:coreProperties>
</file>