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ttps://d.docs.live.net/bf71e7c6c33d56c3/Máy tính/DT 2025/NSĐP/Trình HĐND/"/>
    </mc:Choice>
  </mc:AlternateContent>
  <xr:revisionPtr revIDLastSave="14" documentId="13_ncr:1_{F939B6C1-AFAA-4D53-8A96-03E27112692B}" xr6:coauthVersionLast="45" xr6:coauthVersionMax="45" xr10:uidLastSave="{71C52729-C310-4323-B42D-F9F273391588}"/>
  <bookViews>
    <workbookView xWindow="-98" yWindow="-98" windowWidth="22695" windowHeight="14595" tabRatio="894" activeTab="1" xr2:uid="{00000000-000D-0000-FFFF-FFFF00000000}"/>
  </bookViews>
  <sheets>
    <sheet name="Cân đối thu chi" sheetId="41" r:id="rId1"/>
    <sheet name="Tổng hợp DT chi huyện xã" sheetId="34" r:id="rId2"/>
    <sheet name="DT chi cân đối NS huyện" sheetId="33" r:id="rId3"/>
    <sheet name="Sheet1" sheetId="58" state="hidden" r:id="rId4"/>
    <sheet name="DT thu 2025" sheetId="49" r:id="rId5"/>
    <sheet name="SC SNGD" sheetId="51" state="hidden" r:id="rId6"/>
    <sheet name="chỉ tiêu KTXH" sheetId="53" state="hidden" r:id="rId7"/>
    <sheet name="chỉ tieeuNN-TS" sheetId="54" state="hidden" r:id="rId8"/>
    <sheet name="chỉ tiêu VHXH" sheetId="55" state="hidden" r:id="rId9"/>
    <sheet name="chi tieu gd-dt" sheetId="56" state="hidden" r:id="rId10"/>
    <sheet name="chi xã" sheetId="43" r:id="rId11"/>
    <sheet name="BSMT" sheetId="57" r:id="rId12"/>
  </sheets>
  <externalReferences>
    <externalReference r:id="rId13"/>
  </externalReferences>
  <definedNames>
    <definedName name="_xlnm._FilterDatabase" localSheetId="2" hidden="1">'DT chi cân đối NS huyện'!$A$1:$L$420</definedName>
    <definedName name="_xlnm.Print_Area" localSheetId="4">'DT thu 2025'!$A$1:$AH$68</definedName>
    <definedName name="_xlnm.Print_Titles" localSheetId="7">'chỉ tieeuNN-TS'!$5:$5</definedName>
    <definedName name="_xlnm.Print_Titles" localSheetId="8">'chỉ tiêu VHXH'!$4:$4</definedName>
    <definedName name="_xlnm.Print_Titles" localSheetId="10">'chi xã'!$5:$5</definedName>
    <definedName name="_xlnm.Print_Titles" localSheetId="2">'DT chi cân đối NS huyện'!$5:$8</definedName>
    <definedName name="_xlnm.Print_Titles" localSheetId="4">'DT thu 2025'!$7:$9</definedName>
    <definedName name="_xlnm.Print_Titles" localSheetId="5">'SC SNGD'!$6:$8</definedName>
    <definedName name="_xlnm.Print_Titles" localSheetId="1">'Tổng hợp DT chi huyện xã'!$5:$6</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43" l="1"/>
  <c r="G34" i="43"/>
  <c r="F34" i="43"/>
  <c r="E34" i="43"/>
  <c r="I34" i="43"/>
  <c r="J34" i="43"/>
  <c r="K34" i="43"/>
  <c r="L34" i="43"/>
  <c r="M34" i="43"/>
  <c r="N34" i="43"/>
  <c r="D34" i="43"/>
  <c r="C34" i="43"/>
  <c r="G10" i="43" l="1"/>
  <c r="C10" i="43"/>
  <c r="D51" i="34" l="1"/>
  <c r="E51" i="34"/>
  <c r="C51" i="34"/>
  <c r="C43" i="57"/>
  <c r="C37" i="57" s="1"/>
  <c r="D43" i="57"/>
  <c r="D37" i="57" s="1"/>
  <c r="K194" i="33" l="1"/>
  <c r="D194" i="33"/>
  <c r="L194" i="33" s="1"/>
  <c r="J365" i="33" l="1"/>
  <c r="D23" i="43" l="1"/>
  <c r="D22" i="43"/>
  <c r="D21" i="43"/>
  <c r="D20" i="43"/>
  <c r="F24" i="33"/>
  <c r="H215" i="33"/>
  <c r="G215" i="33"/>
  <c r="H31" i="43" l="1"/>
  <c r="H30" i="43"/>
  <c r="H29" i="43"/>
  <c r="H28" i="43"/>
  <c r="H27" i="58" l="1"/>
  <c r="H26" i="58"/>
  <c r="F29" i="58"/>
  <c r="F27" i="58"/>
  <c r="E29" i="58"/>
  <c r="E40" i="34" l="1"/>
  <c r="F40" i="34"/>
  <c r="C40" i="34"/>
  <c r="D16" i="57"/>
  <c r="C16" i="57"/>
  <c r="K379" i="33"/>
  <c r="D379" i="33"/>
  <c r="L379" i="33" l="1"/>
  <c r="D127" i="33"/>
  <c r="D111" i="33"/>
  <c r="K111" i="33"/>
  <c r="F99" i="33"/>
  <c r="G99" i="33"/>
  <c r="H99" i="33"/>
  <c r="J99" i="33"/>
  <c r="D187" i="33"/>
  <c r="D135" i="33"/>
  <c r="L135" i="33" s="1"/>
  <c r="L111" i="33" l="1"/>
  <c r="I152" i="33"/>
  <c r="I123" i="33"/>
  <c r="I24" i="33"/>
  <c r="I13" i="33"/>
  <c r="D12" i="57" l="1"/>
  <c r="D36" i="34"/>
  <c r="E36" i="34"/>
  <c r="F36" i="34"/>
  <c r="F35" i="34" s="1"/>
  <c r="F34" i="34" s="1"/>
  <c r="C36" i="34"/>
  <c r="G66" i="43" l="1"/>
  <c r="AB66" i="43"/>
  <c r="F357" i="33" l="1"/>
  <c r="G357" i="33"/>
  <c r="H357" i="33"/>
  <c r="J357" i="33"/>
  <c r="D363" i="33"/>
  <c r="L363" i="33" s="1"/>
  <c r="I323" i="33" l="1"/>
  <c r="F322" i="33"/>
  <c r="G322" i="33"/>
  <c r="H322" i="33"/>
  <c r="I322" i="33"/>
  <c r="J322" i="33"/>
  <c r="K333" i="33"/>
  <c r="K332" i="33" s="1"/>
  <c r="D333" i="33"/>
  <c r="D332" i="33" s="1"/>
  <c r="E332" i="33"/>
  <c r="F332" i="33"/>
  <c r="G332" i="33"/>
  <c r="H332" i="33"/>
  <c r="I332" i="33"/>
  <c r="J332" i="33"/>
  <c r="J321" i="33" l="1"/>
  <c r="G321" i="33"/>
  <c r="F321" i="33"/>
  <c r="H321" i="33"/>
  <c r="I321" i="33"/>
  <c r="L333" i="33"/>
  <c r="L332" i="33" s="1"/>
  <c r="N77" i="43" l="1"/>
  <c r="K77" i="43"/>
  <c r="E77" i="43"/>
  <c r="E203" i="33" l="1"/>
  <c r="D203" i="33" s="1"/>
  <c r="E192" i="33"/>
  <c r="D192" i="33" s="1"/>
  <c r="L192" i="33" s="1"/>
  <c r="E183" i="33"/>
  <c r="D183" i="33" s="1"/>
  <c r="E176" i="33"/>
  <c r="D176" i="33" s="1"/>
  <c r="E165" i="33"/>
  <c r="D165" i="33" s="1"/>
  <c r="E153" i="33"/>
  <c r="D153" i="33" s="1"/>
  <c r="E124" i="33"/>
  <c r="D124" i="33" s="1"/>
  <c r="E118" i="33" l="1"/>
  <c r="D118" i="33" s="1"/>
  <c r="E114" i="33"/>
  <c r="D114" i="33" s="1"/>
  <c r="E101" i="33"/>
  <c r="D101" i="33" s="1"/>
  <c r="E93" i="33"/>
  <c r="D93" i="33" s="1"/>
  <c r="E84" i="33"/>
  <c r="D84" i="33" s="1"/>
  <c r="E77" i="33"/>
  <c r="D77" i="33" s="1"/>
  <c r="E70" i="33"/>
  <c r="D70" i="33" s="1"/>
  <c r="E63" i="33"/>
  <c r="D63" i="33" s="1"/>
  <c r="E58" i="33"/>
  <c r="D58" i="33" s="1"/>
  <c r="E53" i="33"/>
  <c r="D53" i="33" s="1"/>
  <c r="E48" i="33"/>
  <c r="D48" i="33" s="1"/>
  <c r="E39" i="33"/>
  <c r="D39" i="33" s="1"/>
  <c r="E25" i="33"/>
  <c r="D25" i="33" s="1"/>
  <c r="E14" i="33" l="1"/>
  <c r="D14" i="33" s="1"/>
  <c r="E13" i="33"/>
  <c r="C65" i="43" l="1"/>
  <c r="N11" i="43"/>
  <c r="E11" i="43"/>
  <c r="F11" i="43"/>
  <c r="G11" i="43"/>
  <c r="H11" i="43"/>
  <c r="I11" i="43"/>
  <c r="J11" i="43"/>
  <c r="K11" i="43"/>
  <c r="L11" i="43"/>
  <c r="M11" i="43"/>
  <c r="D11" i="43"/>
  <c r="C15" i="43"/>
  <c r="C14" i="43"/>
  <c r="C11" i="43" l="1"/>
  <c r="D391" i="33"/>
  <c r="L391" i="33" l="1"/>
  <c r="D392" i="33"/>
  <c r="D393" i="33"/>
  <c r="L392" i="33" l="1"/>
  <c r="D138" i="33"/>
  <c r="D142" i="33"/>
  <c r="D141" i="33"/>
  <c r="D140" i="33"/>
  <c r="D139" i="33"/>
  <c r="F122" i="33"/>
  <c r="G122" i="33"/>
  <c r="H122" i="33"/>
  <c r="C78" i="43" l="1"/>
  <c r="E301" i="33" l="1"/>
  <c r="C302" i="33"/>
  <c r="K312" i="33"/>
  <c r="D312" i="33"/>
  <c r="L312" i="33" l="1"/>
  <c r="H7" i="58"/>
  <c r="E126" i="33" l="1"/>
  <c r="E215" i="33" l="1"/>
  <c r="D214" i="33"/>
  <c r="L214" i="33" s="1"/>
  <c r="D213" i="33"/>
  <c r="D212" i="33"/>
  <c r="G269" i="33"/>
  <c r="G296" i="33"/>
  <c r="G293" i="33"/>
  <c r="G290" i="33"/>
  <c r="G287" i="33"/>
  <c r="G281" i="33"/>
  <c r="G263" i="33"/>
  <c r="G260" i="33"/>
  <c r="G284" i="33"/>
  <c r="G299" i="33"/>
  <c r="G278" i="33"/>
  <c r="G275" i="33"/>
  <c r="G272" i="33"/>
  <c r="G266" i="33"/>
  <c r="G257" i="33"/>
  <c r="G254" i="33"/>
  <c r="G251" i="33"/>
  <c r="G248" i="33"/>
  <c r="G245" i="33"/>
  <c r="G242" i="33"/>
  <c r="G239" i="33"/>
  <c r="G236" i="33"/>
  <c r="G233" i="33"/>
  <c r="D16" i="58"/>
  <c r="D17" i="58" s="1"/>
  <c r="E320" i="33"/>
  <c r="D320" i="33" s="1"/>
  <c r="L320" i="33" s="1"/>
  <c r="D319" i="33"/>
  <c r="D215" i="33" l="1"/>
  <c r="L215" i="33" s="1"/>
  <c r="G51" i="43"/>
  <c r="G52" i="43"/>
  <c r="F52" i="43"/>
  <c r="F51" i="43"/>
  <c r="E52" i="43"/>
  <c r="E51" i="43"/>
  <c r="H49" i="43"/>
  <c r="I49" i="43"/>
  <c r="J49" i="43"/>
  <c r="K49" i="43"/>
  <c r="L49" i="43"/>
  <c r="M49" i="43"/>
  <c r="N49" i="43"/>
  <c r="D49" i="43"/>
  <c r="C54" i="43"/>
  <c r="C52" i="43" l="1"/>
  <c r="C51" i="43"/>
  <c r="N31" i="43"/>
  <c r="M31" i="43"/>
  <c r="L31" i="43"/>
  <c r="K31" i="43"/>
  <c r="J31" i="43"/>
  <c r="I31" i="43"/>
  <c r="G31" i="43"/>
  <c r="F31" i="43"/>
  <c r="E31" i="43"/>
  <c r="D31" i="43"/>
  <c r="N30" i="43"/>
  <c r="M30" i="43"/>
  <c r="L30" i="43"/>
  <c r="K30" i="43"/>
  <c r="J30" i="43"/>
  <c r="I30" i="43"/>
  <c r="G30" i="43"/>
  <c r="F30" i="43"/>
  <c r="E30" i="43"/>
  <c r="D30" i="43"/>
  <c r="N29" i="43"/>
  <c r="M29" i="43"/>
  <c r="L29" i="43"/>
  <c r="K29" i="43"/>
  <c r="J29" i="43"/>
  <c r="I29" i="43"/>
  <c r="G29" i="43"/>
  <c r="F29" i="43"/>
  <c r="E29" i="43"/>
  <c r="D29" i="43"/>
  <c r="N27" i="43"/>
  <c r="M27" i="43"/>
  <c r="L27" i="43"/>
  <c r="K27" i="43"/>
  <c r="J27" i="43"/>
  <c r="I27" i="43"/>
  <c r="H27" i="43"/>
  <c r="G27" i="43"/>
  <c r="F27" i="43"/>
  <c r="E27" i="43"/>
  <c r="D27" i="43"/>
  <c r="N26" i="43"/>
  <c r="M26" i="43"/>
  <c r="L26" i="43"/>
  <c r="K26" i="43"/>
  <c r="J26" i="43"/>
  <c r="I26" i="43"/>
  <c r="H26" i="43"/>
  <c r="G26" i="43"/>
  <c r="F26" i="43"/>
  <c r="E26" i="43"/>
  <c r="D26" i="43"/>
  <c r="N25" i="43"/>
  <c r="M25" i="43"/>
  <c r="L25" i="43"/>
  <c r="K25" i="43"/>
  <c r="J25" i="43"/>
  <c r="I25" i="43"/>
  <c r="H25" i="43"/>
  <c r="G25" i="43"/>
  <c r="F25" i="43"/>
  <c r="E25" i="43"/>
  <c r="D25" i="43"/>
  <c r="N21" i="43"/>
  <c r="M21" i="43"/>
  <c r="L21" i="43"/>
  <c r="K21" i="43"/>
  <c r="J21" i="43"/>
  <c r="I21" i="43"/>
  <c r="G21" i="43"/>
  <c r="F21" i="43"/>
  <c r="E21" i="43"/>
  <c r="H21" i="43"/>
  <c r="N23" i="43"/>
  <c r="M23" i="43"/>
  <c r="L23" i="43"/>
  <c r="K23" i="43"/>
  <c r="J23" i="43"/>
  <c r="I23" i="43"/>
  <c r="H23" i="43"/>
  <c r="G23" i="43"/>
  <c r="F23" i="43"/>
  <c r="E23" i="43"/>
  <c r="N22" i="43"/>
  <c r="M22" i="43"/>
  <c r="L22" i="43"/>
  <c r="K22" i="43"/>
  <c r="J22" i="43"/>
  <c r="I22" i="43"/>
  <c r="H22" i="43"/>
  <c r="G22" i="43"/>
  <c r="F22" i="43"/>
  <c r="E22" i="43"/>
  <c r="D18" i="43"/>
  <c r="N19" i="43"/>
  <c r="M19" i="43"/>
  <c r="L19" i="43"/>
  <c r="K19" i="43"/>
  <c r="J19" i="43"/>
  <c r="I19" i="43"/>
  <c r="H19" i="43"/>
  <c r="G19" i="43"/>
  <c r="F19" i="43"/>
  <c r="E19" i="43"/>
  <c r="D19" i="43"/>
  <c r="N18" i="43"/>
  <c r="M18" i="43"/>
  <c r="L18" i="43"/>
  <c r="K18" i="43"/>
  <c r="J18" i="43"/>
  <c r="I18" i="43"/>
  <c r="H18" i="43"/>
  <c r="G18" i="43"/>
  <c r="F18" i="43"/>
  <c r="E18" i="43"/>
  <c r="N17" i="43"/>
  <c r="M17" i="43"/>
  <c r="L17" i="43"/>
  <c r="K17" i="43"/>
  <c r="J17" i="43"/>
  <c r="I17" i="43"/>
  <c r="H17" i="43"/>
  <c r="G17" i="43"/>
  <c r="F17" i="43"/>
  <c r="E17" i="43"/>
  <c r="D17" i="43"/>
  <c r="C18" i="43" l="1"/>
  <c r="C19" i="43"/>
  <c r="C17" i="43"/>
  <c r="C31" i="43"/>
  <c r="C30" i="43"/>
  <c r="C29" i="43"/>
  <c r="C27" i="43"/>
  <c r="C26" i="43"/>
  <c r="C25" i="43"/>
  <c r="C23" i="43"/>
  <c r="C22" i="43"/>
  <c r="C21" i="43"/>
  <c r="H299" i="33" l="1"/>
  <c r="H278" i="33"/>
  <c r="H275" i="33"/>
  <c r="H272" i="33"/>
  <c r="H269" i="33"/>
  <c r="H266" i="33"/>
  <c r="E14" i="58"/>
  <c r="F25" i="58"/>
  <c r="F13" i="58"/>
  <c r="F12" i="58"/>
  <c r="F11" i="58"/>
  <c r="F8" i="58"/>
  <c r="F9" i="58"/>
  <c r="F7" i="58"/>
  <c r="E13" i="58"/>
  <c r="D13" i="58"/>
  <c r="C313" i="33"/>
  <c r="K310" i="33"/>
  <c r="D310" i="33"/>
  <c r="I309" i="33"/>
  <c r="K309" i="33" s="1"/>
  <c r="E309" i="33"/>
  <c r="J308" i="33"/>
  <c r="H308" i="33"/>
  <c r="G308" i="33"/>
  <c r="F308" i="33"/>
  <c r="H296" i="33"/>
  <c r="H293" i="33"/>
  <c r="H290" i="33"/>
  <c r="H287" i="33"/>
  <c r="H284" i="33"/>
  <c r="H281" i="33"/>
  <c r="H263" i="33"/>
  <c r="H260" i="33"/>
  <c r="H257" i="33"/>
  <c r="H254" i="33"/>
  <c r="H251" i="33"/>
  <c r="H248" i="33"/>
  <c r="H245" i="33"/>
  <c r="H242" i="33"/>
  <c r="H239" i="33"/>
  <c r="H236" i="33"/>
  <c r="H233" i="33"/>
  <c r="E220" i="33"/>
  <c r="F220" i="33"/>
  <c r="G220" i="33"/>
  <c r="H220" i="33"/>
  <c r="I220" i="33"/>
  <c r="J220" i="33"/>
  <c r="K230" i="33"/>
  <c r="D230" i="33"/>
  <c r="K229" i="33"/>
  <c r="D229" i="33"/>
  <c r="K228" i="33"/>
  <c r="D228" i="33"/>
  <c r="K227" i="33"/>
  <c r="D227" i="33"/>
  <c r="K226" i="33"/>
  <c r="D226" i="33"/>
  <c r="K225" i="33"/>
  <c r="D225" i="33"/>
  <c r="K224" i="33"/>
  <c r="D224" i="33"/>
  <c r="D309" i="33" l="1"/>
  <c r="D308" i="33" s="1"/>
  <c r="I308" i="33"/>
  <c r="K308" i="33"/>
  <c r="L230" i="33"/>
  <c r="L310" i="33"/>
  <c r="L225" i="33"/>
  <c r="E308" i="33"/>
  <c r="L228" i="33"/>
  <c r="L229" i="33"/>
  <c r="L224" i="33"/>
  <c r="L226" i="33"/>
  <c r="L227" i="33"/>
  <c r="L309" i="33" l="1"/>
  <c r="L308" i="33" s="1"/>
  <c r="J125" i="33"/>
  <c r="J122" i="33" s="1"/>
  <c r="C13" i="43"/>
  <c r="F26" i="58" l="1"/>
  <c r="E299" i="33"/>
  <c r="I257" i="33"/>
  <c r="I248" i="33"/>
  <c r="I245" i="33"/>
  <c r="I242" i="33"/>
  <c r="I239" i="33"/>
  <c r="I236" i="33"/>
  <c r="I233" i="33"/>
  <c r="J350" i="33" l="1"/>
  <c r="J349" i="33"/>
  <c r="F112" i="33" l="1"/>
  <c r="G112" i="33"/>
  <c r="H112" i="33"/>
  <c r="J112" i="33"/>
  <c r="C112" i="33"/>
  <c r="I315" i="33" l="1"/>
  <c r="I281" i="33" l="1"/>
  <c r="I269" i="33"/>
  <c r="E358" i="33"/>
  <c r="E357" i="33" s="1"/>
  <c r="E338" i="33"/>
  <c r="E323" i="33"/>
  <c r="E322" i="33" s="1"/>
  <c r="E321" i="33" s="1"/>
  <c r="E315" i="33"/>
  <c r="E296" i="33" l="1"/>
  <c r="E293" i="33"/>
  <c r="E290" i="33"/>
  <c r="E287" i="33"/>
  <c r="E284" i="33"/>
  <c r="E281" i="33"/>
  <c r="E278" i="33"/>
  <c r="E275" i="33"/>
  <c r="E272" i="33"/>
  <c r="E269" i="33"/>
  <c r="E266" i="33"/>
  <c r="E263" i="33"/>
  <c r="E260" i="33"/>
  <c r="E257" i="33"/>
  <c r="E254" i="33"/>
  <c r="E251" i="33"/>
  <c r="E248" i="33"/>
  <c r="E245" i="33"/>
  <c r="E242" i="33"/>
  <c r="E239" i="33"/>
  <c r="E236" i="33"/>
  <c r="E233" i="33"/>
  <c r="C231" i="33"/>
  <c r="E202" i="33"/>
  <c r="E191" i="33"/>
  <c r="E182" i="33"/>
  <c r="E175" i="33"/>
  <c r="E164" i="33"/>
  <c r="E152" i="33"/>
  <c r="E123" i="33" l="1"/>
  <c r="E117" i="33"/>
  <c r="E113" i="33"/>
  <c r="E112" i="33" s="1"/>
  <c r="E100" i="33"/>
  <c r="E99" i="33" s="1"/>
  <c r="E92" i="33"/>
  <c r="E83" i="33"/>
  <c r="E76" i="33"/>
  <c r="E69" i="33"/>
  <c r="E62" i="33"/>
  <c r="E52" i="33"/>
  <c r="E47" i="33"/>
  <c r="E57" i="33"/>
  <c r="I47" i="33"/>
  <c r="E38" i="33"/>
  <c r="E24" i="33"/>
  <c r="E15" i="33"/>
  <c r="D15" i="33" s="1"/>
  <c r="E122" i="33" l="1"/>
  <c r="D13" i="33"/>
  <c r="D419" i="33"/>
  <c r="D418" i="33"/>
  <c r="G417" i="33"/>
  <c r="H417" i="33"/>
  <c r="D416" i="33"/>
  <c r="D415" i="33"/>
  <c r="G414" i="33"/>
  <c r="H414" i="33"/>
  <c r="D410" i="33"/>
  <c r="D413" i="33"/>
  <c r="D412" i="33"/>
  <c r="D411" i="33"/>
  <c r="G409" i="33"/>
  <c r="H409" i="33"/>
  <c r="H403" i="33" s="1"/>
  <c r="D404" i="33"/>
  <c r="D408" i="33"/>
  <c r="D407" i="33"/>
  <c r="D406" i="33"/>
  <c r="D402" i="33"/>
  <c r="G401" i="33"/>
  <c r="H401" i="33"/>
  <c r="D400" i="33"/>
  <c r="D399" i="33" s="1"/>
  <c r="G399" i="33"/>
  <c r="G397" i="33" s="1"/>
  <c r="H399" i="33"/>
  <c r="H397" i="33" s="1"/>
  <c r="D398" i="33"/>
  <c r="D394" i="33"/>
  <c r="D390" i="33"/>
  <c r="D389" i="33"/>
  <c r="D388" i="33"/>
  <c r="G387" i="33"/>
  <c r="H387" i="33"/>
  <c r="D386" i="33"/>
  <c r="D385" i="33" s="1"/>
  <c r="G385" i="33"/>
  <c r="H385" i="33"/>
  <c r="D384" i="33"/>
  <c r="D383" i="33"/>
  <c r="G382" i="33"/>
  <c r="H382" i="33"/>
  <c r="D381" i="33"/>
  <c r="D380" i="33"/>
  <c r="D378" i="33"/>
  <c r="D377" i="33"/>
  <c r="G376" i="33"/>
  <c r="H376" i="33"/>
  <c r="D375" i="33"/>
  <c r="D374" i="33"/>
  <c r="D373" i="33"/>
  <c r="G372" i="33"/>
  <c r="H372" i="33"/>
  <c r="E368" i="33"/>
  <c r="D369" i="33"/>
  <c r="D367" i="33"/>
  <c r="D366" i="33"/>
  <c r="D365" i="33"/>
  <c r="G364" i="33"/>
  <c r="H364" i="33"/>
  <c r="D362" i="33"/>
  <c r="D361" i="33"/>
  <c r="D360" i="33"/>
  <c r="D359" i="33"/>
  <c r="D354" i="33"/>
  <c r="D353" i="33"/>
  <c r="D352" i="33"/>
  <c r="D351" i="33"/>
  <c r="D341" i="33"/>
  <c r="D340" i="33"/>
  <c r="D339" i="33"/>
  <c r="D336" i="33"/>
  <c r="D335" i="33"/>
  <c r="D331" i="33"/>
  <c r="G348" i="33"/>
  <c r="G347" i="33" s="1"/>
  <c r="H348" i="33"/>
  <c r="H347" i="33" s="1"/>
  <c r="D346" i="33"/>
  <c r="G343" i="33"/>
  <c r="G342" i="33" s="1"/>
  <c r="H343" i="33"/>
  <c r="H342" i="33" s="1"/>
  <c r="E334" i="33"/>
  <c r="F334" i="33"/>
  <c r="G334" i="33"/>
  <c r="H334" i="33"/>
  <c r="I334" i="33"/>
  <c r="D330" i="33"/>
  <c r="D329" i="33"/>
  <c r="D328" i="33"/>
  <c r="D327" i="33"/>
  <c r="D326" i="33"/>
  <c r="D325" i="33"/>
  <c r="D324" i="33"/>
  <c r="G337" i="33"/>
  <c r="H337" i="33"/>
  <c r="D318" i="33"/>
  <c r="D317" i="33"/>
  <c r="D316" i="33"/>
  <c r="D311" i="33"/>
  <c r="G314" i="33"/>
  <c r="H314" i="33"/>
  <c r="H313" i="33" s="1"/>
  <c r="D307" i="33"/>
  <c r="D306" i="33"/>
  <c r="D305" i="33"/>
  <c r="D300" i="33"/>
  <c r="G303" i="33"/>
  <c r="G302" i="33" s="1"/>
  <c r="H303" i="33"/>
  <c r="H302" i="33" s="1"/>
  <c r="I303" i="33"/>
  <c r="I302" i="33" s="1"/>
  <c r="G235" i="33"/>
  <c r="H235" i="33"/>
  <c r="G238" i="33"/>
  <c r="H238" i="33"/>
  <c r="G241" i="33"/>
  <c r="H241" i="33"/>
  <c r="G244" i="33"/>
  <c r="H244" i="33"/>
  <c r="G247" i="33"/>
  <c r="H247" i="33"/>
  <c r="G250" i="33"/>
  <c r="H250" i="33"/>
  <c r="G253" i="33"/>
  <c r="H253" i="33"/>
  <c r="G256" i="33"/>
  <c r="H256" i="33"/>
  <c r="G259" i="33"/>
  <c r="H259" i="33"/>
  <c r="G262" i="33"/>
  <c r="H262" i="33"/>
  <c r="G265" i="33"/>
  <c r="H265" i="33"/>
  <c r="G268" i="33"/>
  <c r="H268" i="33"/>
  <c r="G271" i="33"/>
  <c r="H271" i="33"/>
  <c r="G274" i="33"/>
  <c r="H274" i="33"/>
  <c r="G277" i="33"/>
  <c r="H277" i="33"/>
  <c r="G280" i="33"/>
  <c r="H280" i="33"/>
  <c r="G283" i="33"/>
  <c r="H283" i="33"/>
  <c r="G286" i="33"/>
  <c r="H286" i="33"/>
  <c r="G289" i="33"/>
  <c r="H289" i="33"/>
  <c r="G292" i="33"/>
  <c r="H292" i="33"/>
  <c r="G295" i="33"/>
  <c r="H295" i="33"/>
  <c r="G298" i="33"/>
  <c r="H298" i="33"/>
  <c r="E298" i="33"/>
  <c r="D297" i="33"/>
  <c r="D294" i="33"/>
  <c r="D291" i="33"/>
  <c r="D288" i="33"/>
  <c r="D285" i="33"/>
  <c r="D282" i="33"/>
  <c r="D279" i="33"/>
  <c r="D276" i="33"/>
  <c r="D273" i="33"/>
  <c r="D270" i="33"/>
  <c r="D267" i="33"/>
  <c r="D264" i="33"/>
  <c r="D261" i="33"/>
  <c r="D258" i="33"/>
  <c r="D255" i="33"/>
  <c r="D252" i="33"/>
  <c r="D249" i="33"/>
  <c r="D246" i="33"/>
  <c r="D243" i="33"/>
  <c r="D240" i="33"/>
  <c r="D237" i="33"/>
  <c r="D234" i="33"/>
  <c r="G232" i="33"/>
  <c r="H232" i="33"/>
  <c r="D223" i="33"/>
  <c r="D222" i="33"/>
  <c r="D221" i="33"/>
  <c r="D219" i="33"/>
  <c r="D218" i="33"/>
  <c r="G211" i="33"/>
  <c r="H211" i="33"/>
  <c r="D210" i="33"/>
  <c r="D209" i="33"/>
  <c r="D208" i="33"/>
  <c r="G207" i="33"/>
  <c r="H207" i="33"/>
  <c r="D206" i="33"/>
  <c r="D205" i="33"/>
  <c r="D204" i="33"/>
  <c r="G201" i="33"/>
  <c r="H201" i="33"/>
  <c r="D200" i="33"/>
  <c r="D199" i="33"/>
  <c r="D198" i="33"/>
  <c r="G197" i="33"/>
  <c r="H197" i="33"/>
  <c r="D195" i="33"/>
  <c r="D193" i="33"/>
  <c r="D189" i="33"/>
  <c r="D188" i="33"/>
  <c r="D186" i="33"/>
  <c r="D185" i="33"/>
  <c r="D184" i="33"/>
  <c r="G190" i="33"/>
  <c r="H190" i="33"/>
  <c r="G181" i="33"/>
  <c r="H181" i="33"/>
  <c r="D180" i="33"/>
  <c r="D179" i="33"/>
  <c r="D178" i="33"/>
  <c r="D177" i="33"/>
  <c r="G174" i="33"/>
  <c r="H174" i="33"/>
  <c r="D173" i="33"/>
  <c r="D172" i="33"/>
  <c r="D171" i="33"/>
  <c r="D170" i="33"/>
  <c r="D169" i="33"/>
  <c r="D168" i="33"/>
  <c r="D167" i="33"/>
  <c r="D166" i="33"/>
  <c r="G163" i="33"/>
  <c r="H163" i="33"/>
  <c r="D162" i="33"/>
  <c r="D154" i="33"/>
  <c r="D155" i="33"/>
  <c r="D156" i="33"/>
  <c r="D157" i="33"/>
  <c r="D158" i="33"/>
  <c r="D159" i="33"/>
  <c r="D160" i="33"/>
  <c r="D161" i="33"/>
  <c r="G151" i="33"/>
  <c r="H151" i="33"/>
  <c r="D149" i="33"/>
  <c r="H12" i="33"/>
  <c r="H37" i="33"/>
  <c r="H46" i="33"/>
  <c r="H51" i="33"/>
  <c r="H56" i="33"/>
  <c r="H61" i="33"/>
  <c r="H68" i="33"/>
  <c r="H75" i="33"/>
  <c r="H82" i="33"/>
  <c r="H91" i="33"/>
  <c r="H116" i="33"/>
  <c r="D148" i="33"/>
  <c r="D147" i="33"/>
  <c r="D146" i="33"/>
  <c r="D145" i="33"/>
  <c r="D144" i="33"/>
  <c r="D143" i="33"/>
  <c r="D136" i="33"/>
  <c r="D134" i="33"/>
  <c r="D133" i="33"/>
  <c r="D132" i="33"/>
  <c r="D131" i="33"/>
  <c r="D130" i="33"/>
  <c r="D129" i="33"/>
  <c r="D128" i="33"/>
  <c r="D126" i="33"/>
  <c r="D121" i="33"/>
  <c r="D120" i="33"/>
  <c r="D119" i="33"/>
  <c r="G116" i="33"/>
  <c r="D115" i="33"/>
  <c r="D102" i="33"/>
  <c r="D103" i="33"/>
  <c r="D104" i="33"/>
  <c r="D105" i="33"/>
  <c r="D106" i="33"/>
  <c r="D107" i="33"/>
  <c r="D108" i="33"/>
  <c r="D109" i="33"/>
  <c r="D110" i="33"/>
  <c r="D98" i="33"/>
  <c r="D97" i="33"/>
  <c r="D96" i="33"/>
  <c r="D95" i="33"/>
  <c r="D94" i="33"/>
  <c r="G91" i="33"/>
  <c r="D90" i="33"/>
  <c r="D89" i="33"/>
  <c r="D88" i="33"/>
  <c r="D87" i="33"/>
  <c r="D86" i="33"/>
  <c r="D85" i="33"/>
  <c r="G82" i="33"/>
  <c r="D81" i="33"/>
  <c r="D80" i="33"/>
  <c r="D79" i="33"/>
  <c r="D78" i="33"/>
  <c r="G75" i="33"/>
  <c r="D74" i="33"/>
  <c r="D73" i="33"/>
  <c r="D72" i="33"/>
  <c r="D71" i="33"/>
  <c r="G68" i="33"/>
  <c r="D67" i="33"/>
  <c r="D66" i="33"/>
  <c r="D65" i="33"/>
  <c r="D64" i="33"/>
  <c r="G61" i="33"/>
  <c r="D60" i="33"/>
  <c r="D59" i="33"/>
  <c r="G56" i="33"/>
  <c r="D55" i="33"/>
  <c r="D54" i="33"/>
  <c r="G51" i="33"/>
  <c r="D50" i="33"/>
  <c r="D49" i="33"/>
  <c r="E46" i="33"/>
  <c r="F46" i="33"/>
  <c r="G46" i="33"/>
  <c r="D45" i="33"/>
  <c r="D40" i="33"/>
  <c r="D41" i="33"/>
  <c r="D42" i="33"/>
  <c r="D43" i="33"/>
  <c r="D44" i="33"/>
  <c r="E37" i="33"/>
  <c r="F37" i="33"/>
  <c r="G37" i="33"/>
  <c r="D36" i="33"/>
  <c r="D35" i="33"/>
  <c r="D34" i="33"/>
  <c r="D33" i="33"/>
  <c r="D32" i="33"/>
  <c r="D31" i="33"/>
  <c r="D30" i="33"/>
  <c r="D29" i="33"/>
  <c r="D28" i="33"/>
  <c r="D27" i="33"/>
  <c r="D26" i="33"/>
  <c r="D22" i="33"/>
  <c r="D16" i="33"/>
  <c r="D18" i="33"/>
  <c r="D19" i="33"/>
  <c r="D20" i="33"/>
  <c r="D21" i="33"/>
  <c r="G12" i="33"/>
  <c r="F65" i="49"/>
  <c r="C64" i="43"/>
  <c r="G371" i="33" l="1"/>
  <c r="H371" i="33"/>
  <c r="D207" i="33"/>
  <c r="D197" i="33"/>
  <c r="D409" i="33"/>
  <c r="G231" i="33"/>
  <c r="G217" i="33" s="1"/>
  <c r="G313" i="33"/>
  <c r="H231" i="33"/>
  <c r="H217" i="33" s="1"/>
  <c r="H216" i="33" s="1"/>
  <c r="D220" i="33"/>
  <c r="D397" i="33"/>
  <c r="D372" i="33"/>
  <c r="G403" i="33"/>
  <c r="H356" i="33"/>
  <c r="G356" i="33"/>
  <c r="G196" i="33"/>
  <c r="G150" i="33"/>
  <c r="H196" i="33"/>
  <c r="H150" i="33"/>
  <c r="D81" i="43"/>
  <c r="D63" i="43"/>
  <c r="C63" i="43" s="1"/>
  <c r="C66" i="43"/>
  <c r="G216" i="33" l="1"/>
  <c r="H355" i="33"/>
  <c r="G355" i="33"/>
  <c r="D41" i="43"/>
  <c r="G50" i="43"/>
  <c r="F50" i="43"/>
  <c r="F49" i="43" s="1"/>
  <c r="E50" i="43"/>
  <c r="E49" i="43" s="1"/>
  <c r="F60" i="43" l="1"/>
  <c r="D53" i="34" l="1"/>
  <c r="D54" i="34"/>
  <c r="D55" i="34"/>
  <c r="D56" i="34"/>
  <c r="D58" i="34"/>
  <c r="D52" i="34"/>
  <c r="D59" i="34"/>
  <c r="E49" i="34"/>
  <c r="F51" i="34"/>
  <c r="F49" i="34" s="1"/>
  <c r="C49" i="34"/>
  <c r="D47" i="34"/>
  <c r="C12" i="43"/>
  <c r="N28" i="43"/>
  <c r="N24" i="43"/>
  <c r="M24" i="43"/>
  <c r="M28" i="43"/>
  <c r="L24" i="43"/>
  <c r="L28" i="43"/>
  <c r="K28" i="43"/>
  <c r="K24" i="43"/>
  <c r="J28" i="43"/>
  <c r="I24" i="43"/>
  <c r="I28" i="43"/>
  <c r="H24" i="43"/>
  <c r="G28" i="43"/>
  <c r="G24" i="43"/>
  <c r="F28" i="43"/>
  <c r="E24" i="43"/>
  <c r="E28" i="43"/>
  <c r="D24" i="43"/>
  <c r="D28" i="43"/>
  <c r="D49" i="34" l="1"/>
  <c r="N32" i="43"/>
  <c r="M32" i="43"/>
  <c r="L32" i="43"/>
  <c r="K32" i="43"/>
  <c r="J32" i="43"/>
  <c r="I32" i="43"/>
  <c r="H32" i="43"/>
  <c r="G32" i="43"/>
  <c r="F32" i="43"/>
  <c r="E32" i="43"/>
  <c r="D32" i="43"/>
  <c r="J24" i="43"/>
  <c r="F24" i="43"/>
  <c r="N20" i="43"/>
  <c r="M20" i="43"/>
  <c r="L20" i="43"/>
  <c r="K20" i="43"/>
  <c r="J20" i="43"/>
  <c r="I20" i="43"/>
  <c r="H20" i="43"/>
  <c r="G20" i="43"/>
  <c r="F20" i="43"/>
  <c r="E20" i="43"/>
  <c r="N16" i="43"/>
  <c r="M16" i="43"/>
  <c r="L16" i="43"/>
  <c r="K16" i="43"/>
  <c r="J16" i="43"/>
  <c r="I16" i="43"/>
  <c r="H16" i="43"/>
  <c r="G16" i="43"/>
  <c r="F16" i="43"/>
  <c r="E16" i="43"/>
  <c r="D16" i="43"/>
  <c r="E86" i="43" l="1"/>
  <c r="F86" i="43"/>
  <c r="G86" i="43"/>
  <c r="H86" i="43"/>
  <c r="I86" i="43"/>
  <c r="J86" i="43"/>
  <c r="K86" i="43"/>
  <c r="L86" i="43"/>
  <c r="M86" i="43"/>
  <c r="N86" i="43"/>
  <c r="D86" i="43"/>
  <c r="N68" i="49" s="1"/>
  <c r="C87" i="43"/>
  <c r="D35" i="57"/>
  <c r="C35" i="57"/>
  <c r="C86" i="43" l="1"/>
  <c r="F22" i="49"/>
  <c r="I57" i="49"/>
  <c r="E17" i="49"/>
  <c r="F26" i="49"/>
  <c r="F41" i="49"/>
  <c r="H57" i="49"/>
  <c r="G57" i="49"/>
  <c r="H58" i="49"/>
  <c r="G58" i="49"/>
  <c r="H45" i="49" l="1"/>
  <c r="H44" i="49" s="1"/>
  <c r="F38" i="49"/>
  <c r="F36" i="49"/>
  <c r="F31" i="49"/>
  <c r="I39" i="49"/>
  <c r="E36" i="49"/>
  <c r="F15" i="49"/>
  <c r="E57" i="49"/>
  <c r="E58" i="49"/>
  <c r="D57" i="49"/>
  <c r="C57" i="49"/>
  <c r="K167" i="33" l="1"/>
  <c r="K168" i="33"/>
  <c r="K145" i="33"/>
  <c r="K144" i="33"/>
  <c r="K143" i="33"/>
  <c r="J23" i="33"/>
  <c r="D17" i="33"/>
  <c r="D12" i="33" s="1"/>
  <c r="L167" i="33" l="1"/>
  <c r="L168" i="33"/>
  <c r="L145" i="33"/>
  <c r="L144" i="33"/>
  <c r="L143" i="33"/>
  <c r="E414" i="33" l="1"/>
  <c r="F414" i="33"/>
  <c r="I414" i="33"/>
  <c r="J414" i="33"/>
  <c r="K416" i="33"/>
  <c r="L416" i="33" s="1"/>
  <c r="K415" i="33" l="1"/>
  <c r="D414" i="33"/>
  <c r="K414" i="33" l="1"/>
  <c r="L415" i="33"/>
  <c r="L414" i="33" s="1"/>
  <c r="E81" i="43" l="1"/>
  <c r="P68" i="49" s="1"/>
  <c r="F81" i="43"/>
  <c r="AF68" i="49" s="1"/>
  <c r="G81" i="43"/>
  <c r="AH68" i="49" s="1"/>
  <c r="H81" i="43"/>
  <c r="R68" i="49" s="1"/>
  <c r="I81" i="43"/>
  <c r="T68" i="49" s="1"/>
  <c r="J81" i="43"/>
  <c r="X68" i="49" s="1"/>
  <c r="K81" i="43"/>
  <c r="Z68" i="49" s="1"/>
  <c r="L81" i="43"/>
  <c r="V68" i="49" s="1"/>
  <c r="M81" i="43"/>
  <c r="AD68" i="49" s="1"/>
  <c r="N81" i="43"/>
  <c r="AB68" i="49" s="1"/>
  <c r="C85" i="43"/>
  <c r="C82" i="43"/>
  <c r="C81" i="43" l="1"/>
  <c r="K128" i="33" l="1"/>
  <c r="L128" i="33" l="1"/>
  <c r="N40" i="43" l="1"/>
  <c r="M40" i="43"/>
  <c r="L40" i="43"/>
  <c r="K40" i="43"/>
  <c r="J40" i="43"/>
  <c r="I40" i="43"/>
  <c r="H40" i="43"/>
  <c r="G40" i="43"/>
  <c r="F40" i="43"/>
  <c r="E40" i="43"/>
  <c r="D40" i="43"/>
  <c r="C70" i="43"/>
  <c r="K43" i="33"/>
  <c r="L43" i="33" l="1"/>
  <c r="L311" i="33"/>
  <c r="K28" i="33" l="1"/>
  <c r="D152" i="33"/>
  <c r="D151" i="33" s="1"/>
  <c r="D24" i="33"/>
  <c r="D23" i="33" s="1"/>
  <c r="I122" i="33" l="1"/>
  <c r="D123" i="33"/>
  <c r="L28" i="33"/>
  <c r="E116" i="33"/>
  <c r="F116" i="33"/>
  <c r="J116" i="33"/>
  <c r="E417" i="33" l="1"/>
  <c r="F417" i="33"/>
  <c r="I417" i="33"/>
  <c r="J417" i="33"/>
  <c r="K417" i="33"/>
  <c r="D304" i="33" l="1"/>
  <c r="D303" i="33" s="1"/>
  <c r="D302" i="33" s="1"/>
  <c r="D344" i="33"/>
  <c r="F298" i="33" l="1"/>
  <c r="F232" i="33"/>
  <c r="C217" i="33" l="1"/>
  <c r="C216" i="33" s="1"/>
  <c r="C16" i="43" l="1"/>
  <c r="D350" i="33" l="1"/>
  <c r="D349" i="33"/>
  <c r="D348" i="33" l="1"/>
  <c r="I299" i="33"/>
  <c r="D299" i="33" s="1"/>
  <c r="I296" i="33"/>
  <c r="D296" i="33" s="1"/>
  <c r="I293" i="33"/>
  <c r="D293" i="33" s="1"/>
  <c r="I290" i="33"/>
  <c r="D290" i="33" s="1"/>
  <c r="I287" i="33"/>
  <c r="D287" i="33" s="1"/>
  <c r="I284" i="33"/>
  <c r="D284" i="33" s="1"/>
  <c r="D281" i="33"/>
  <c r="I278" i="33"/>
  <c r="D278" i="33" s="1"/>
  <c r="I275" i="33"/>
  <c r="D275" i="33" s="1"/>
  <c r="I272" i="33"/>
  <c r="D272" i="33" s="1"/>
  <c r="I266" i="33"/>
  <c r="D266" i="33" s="1"/>
  <c r="I263" i="33"/>
  <c r="D263" i="33" s="1"/>
  <c r="I260" i="33"/>
  <c r="D260" i="33" s="1"/>
  <c r="D257" i="33"/>
  <c r="G60" i="43" l="1"/>
  <c r="E60" i="43"/>
  <c r="H60" i="43"/>
  <c r="I60" i="43"/>
  <c r="J60" i="43"/>
  <c r="K60" i="43"/>
  <c r="L60" i="43"/>
  <c r="M60" i="43"/>
  <c r="N60" i="43"/>
  <c r="C67" i="43" l="1"/>
  <c r="D269" i="33" l="1"/>
  <c r="I254" i="33"/>
  <c r="D254" i="33" s="1"/>
  <c r="I251" i="33"/>
  <c r="D251" i="33" s="1"/>
  <c r="D248" i="33"/>
  <c r="D245" i="33"/>
  <c r="D242" i="33"/>
  <c r="D239" i="33"/>
  <c r="D236" i="33"/>
  <c r="D233" i="33"/>
  <c r="J376" i="33" l="1"/>
  <c r="E376" i="33"/>
  <c r="F376" i="33"/>
  <c r="I376" i="33"/>
  <c r="D301" i="33" l="1"/>
  <c r="K396" i="33" l="1"/>
  <c r="D396" i="33"/>
  <c r="L396" i="33" l="1"/>
  <c r="E67" i="49" l="1"/>
  <c r="F67" i="49" s="1"/>
  <c r="I67" i="49" s="1"/>
  <c r="E35" i="34" l="1"/>
  <c r="E34" i="34" s="1"/>
  <c r="D35" i="34"/>
  <c r="C35" i="34"/>
  <c r="C34" i="34" s="1"/>
  <c r="C33" i="34" s="1"/>
  <c r="C71" i="43" l="1"/>
  <c r="E41" i="43"/>
  <c r="F41" i="43"/>
  <c r="G41" i="43"/>
  <c r="H41" i="43"/>
  <c r="I41" i="43"/>
  <c r="J41" i="43"/>
  <c r="K41" i="43"/>
  <c r="L41" i="43"/>
  <c r="M41" i="43"/>
  <c r="N41" i="43"/>
  <c r="C42" i="43"/>
  <c r="L374" i="33" l="1"/>
  <c r="J181" i="33"/>
  <c r="E181" i="33"/>
  <c r="F181" i="33"/>
  <c r="K189" i="33"/>
  <c r="L189" i="33" l="1"/>
  <c r="E174" i="33"/>
  <c r="F174" i="33"/>
  <c r="J174" i="33"/>
  <c r="K180" i="33"/>
  <c r="L180" i="33" l="1"/>
  <c r="J46" i="33"/>
  <c r="K384" i="33" l="1"/>
  <c r="L407" i="33"/>
  <c r="K50" i="33" l="1"/>
  <c r="L50" i="33" l="1"/>
  <c r="C41" i="43"/>
  <c r="E75" i="33" l="1"/>
  <c r="F75" i="33"/>
  <c r="J75" i="33"/>
  <c r="K97" i="33"/>
  <c r="K96" i="33"/>
  <c r="L96" i="33" l="1"/>
  <c r="L97" i="33"/>
  <c r="K149" i="33"/>
  <c r="L149" i="33" l="1"/>
  <c r="C12" i="57" l="1"/>
  <c r="C11" i="57" s="1"/>
  <c r="D11" i="57" s="1"/>
  <c r="C83" i="43" l="1"/>
  <c r="C20" i="43" l="1"/>
  <c r="D42" i="34" l="1"/>
  <c r="D43" i="34"/>
  <c r="D44" i="34"/>
  <c r="D45" i="34"/>
  <c r="D46" i="34"/>
  <c r="D41" i="34"/>
  <c r="D40" i="34" l="1"/>
  <c r="D34" i="34" s="1"/>
  <c r="Y68" i="49"/>
  <c r="C84" i="43"/>
  <c r="C10" i="57"/>
  <c r="E68" i="49" s="1"/>
  <c r="F68" i="49" s="1"/>
  <c r="AA68" i="49"/>
  <c r="AC68" i="49"/>
  <c r="U68" i="49"/>
  <c r="W68" i="49"/>
  <c r="S68" i="49"/>
  <c r="Q68" i="49"/>
  <c r="AG68" i="49"/>
  <c r="AE68" i="49"/>
  <c r="O68" i="49"/>
  <c r="M68" i="49" l="1"/>
  <c r="K372" i="33"/>
  <c r="K364" i="33"/>
  <c r="C11" i="33"/>
  <c r="I358" i="33" l="1"/>
  <c r="I338" i="33"/>
  <c r="D338" i="33" s="1"/>
  <c r="I191" i="33"/>
  <c r="D191" i="33" s="1"/>
  <c r="D190" i="33" s="1"/>
  <c r="I182" i="33"/>
  <c r="I175" i="33"/>
  <c r="I164" i="33"/>
  <c r="D164" i="33" s="1"/>
  <c r="D163" i="33" s="1"/>
  <c r="I117" i="33"/>
  <c r="I113" i="33"/>
  <c r="I100" i="33"/>
  <c r="I92" i="33"/>
  <c r="D92" i="33" s="1"/>
  <c r="I83" i="33"/>
  <c r="D83" i="33" s="1"/>
  <c r="D82" i="33" s="1"/>
  <c r="I76" i="33"/>
  <c r="I69" i="33"/>
  <c r="D69" i="33" s="1"/>
  <c r="D68" i="33" s="1"/>
  <c r="I62" i="33"/>
  <c r="D62" i="33" s="1"/>
  <c r="D61" i="33" s="1"/>
  <c r="I57" i="33"/>
  <c r="D57" i="33" s="1"/>
  <c r="D56" i="33" s="1"/>
  <c r="I52" i="33"/>
  <c r="D52" i="33" s="1"/>
  <c r="D51" i="33" s="1"/>
  <c r="I38" i="33"/>
  <c r="D100" i="33" l="1"/>
  <c r="D99" i="33" s="1"/>
  <c r="I99" i="33"/>
  <c r="D358" i="33"/>
  <c r="D357" i="33" s="1"/>
  <c r="I357" i="33"/>
  <c r="D323" i="33"/>
  <c r="D322" i="33" s="1"/>
  <c r="D321" i="33" s="1"/>
  <c r="D113" i="33"/>
  <c r="D112" i="33" s="1"/>
  <c r="I112" i="33"/>
  <c r="I174" i="33"/>
  <c r="D175" i="33"/>
  <c r="I181" i="33"/>
  <c r="D182" i="33"/>
  <c r="D181" i="33" s="1"/>
  <c r="I116" i="33"/>
  <c r="D117" i="33"/>
  <c r="D116" i="33" s="1"/>
  <c r="D38" i="33"/>
  <c r="D37" i="33" s="1"/>
  <c r="K38" i="33"/>
  <c r="I46" i="33"/>
  <c r="D47" i="33"/>
  <c r="D46" i="33" s="1"/>
  <c r="I75" i="33"/>
  <c r="D76" i="33"/>
  <c r="D75" i="33" s="1"/>
  <c r="L147" i="33"/>
  <c r="K29" i="33" l="1"/>
  <c r="D211" i="33" l="1"/>
  <c r="D345" i="33"/>
  <c r="D370" i="33"/>
  <c r="D368" i="33" s="1"/>
  <c r="D401" i="33"/>
  <c r="K36" i="33"/>
  <c r="E26" i="34" l="1"/>
  <c r="D376" i="33"/>
  <c r="D174" i="33"/>
  <c r="D343" i="33"/>
  <c r="D342" i="33" s="1"/>
  <c r="D364" i="33"/>
  <c r="D334" i="33"/>
  <c r="D91" i="33"/>
  <c r="D337" i="33"/>
  <c r="L36" i="33"/>
  <c r="D356" i="33" l="1"/>
  <c r="D150" i="33"/>
  <c r="G79" i="43" l="1"/>
  <c r="M79" i="43"/>
  <c r="N79" i="43"/>
  <c r="J79" i="43"/>
  <c r="D79" i="43"/>
  <c r="F79" i="43"/>
  <c r="E79" i="43"/>
  <c r="I79" i="43"/>
  <c r="H79" i="43"/>
  <c r="L79" i="43"/>
  <c r="K79" i="43"/>
  <c r="C79" i="43" l="1"/>
  <c r="K380" i="33" l="1"/>
  <c r="K328" i="33"/>
  <c r="K27" i="33"/>
  <c r="L328" i="33" l="1"/>
  <c r="L27" i="33"/>
  <c r="E190" i="33" l="1"/>
  <c r="F190" i="33"/>
  <c r="J190" i="33"/>
  <c r="C80" i="43" l="1"/>
  <c r="J420" i="33" s="1"/>
  <c r="F32" i="34" l="1"/>
  <c r="D420" i="33"/>
  <c r="K110" i="33"/>
  <c r="I190" i="33"/>
  <c r="L110" i="33" l="1"/>
  <c r="K31" i="49" l="1"/>
  <c r="L43" i="49"/>
  <c r="L41" i="49"/>
  <c r="K43" i="49"/>
  <c r="F151" i="33" l="1"/>
  <c r="D202" i="33" l="1"/>
  <c r="K52" i="33"/>
  <c r="K57" i="33"/>
  <c r="D201" i="33" l="1"/>
  <c r="D196" i="33" s="1"/>
  <c r="K223" i="33"/>
  <c r="K222" i="33"/>
  <c r="K221" i="33"/>
  <c r="D315" i="33"/>
  <c r="D314" i="33" s="1"/>
  <c r="D313" i="33" s="1"/>
  <c r="K220" i="33" l="1"/>
  <c r="L222" i="33"/>
  <c r="L223" i="33"/>
  <c r="L221" i="33"/>
  <c r="L220" i="33" l="1"/>
  <c r="D417" i="33"/>
  <c r="E409" i="33"/>
  <c r="E403" i="33" s="1"/>
  <c r="F409" i="33"/>
  <c r="F403" i="33" s="1"/>
  <c r="E401" i="33"/>
  <c r="F401" i="33"/>
  <c r="E399" i="33"/>
  <c r="E397" i="33" s="1"/>
  <c r="F399" i="33"/>
  <c r="F397" i="33" s="1"/>
  <c r="I399" i="33"/>
  <c r="I397" i="33" s="1"/>
  <c r="E395" i="33"/>
  <c r="E387" i="33" s="1"/>
  <c r="F395" i="33"/>
  <c r="F387" i="33" s="1"/>
  <c r="I395" i="33"/>
  <c r="I387" i="33" s="1"/>
  <c r="J395" i="33"/>
  <c r="J387" i="33" s="1"/>
  <c r="E385" i="33"/>
  <c r="F385" i="33"/>
  <c r="E382" i="33"/>
  <c r="F382" i="33"/>
  <c r="E372" i="33"/>
  <c r="F372" i="33"/>
  <c r="F368" i="33"/>
  <c r="E364" i="33"/>
  <c r="F364" i="33"/>
  <c r="E348" i="33"/>
  <c r="E347" i="33" s="1"/>
  <c r="F348" i="33"/>
  <c r="F347" i="33" s="1"/>
  <c r="E343" i="33"/>
  <c r="F343" i="33"/>
  <c r="E337" i="33"/>
  <c r="F337" i="33"/>
  <c r="L301" i="33"/>
  <c r="E314" i="33"/>
  <c r="E313" i="33" s="1"/>
  <c r="F314" i="33"/>
  <c r="F313" i="33" s="1"/>
  <c r="E303" i="33"/>
  <c r="E302" i="33" s="1"/>
  <c r="F303" i="33"/>
  <c r="F302" i="33" s="1"/>
  <c r="F295" i="33"/>
  <c r="F292" i="33"/>
  <c r="F289" i="33"/>
  <c r="F286" i="33"/>
  <c r="F283" i="33"/>
  <c r="F280" i="33"/>
  <c r="F277" i="33"/>
  <c r="F274" i="33"/>
  <c r="F271" i="33"/>
  <c r="F268" i="33"/>
  <c r="F265" i="33"/>
  <c r="F262" i="33"/>
  <c r="F259" i="33"/>
  <c r="F256" i="33"/>
  <c r="F253" i="33"/>
  <c r="F250" i="33"/>
  <c r="F247" i="33"/>
  <c r="F244" i="33"/>
  <c r="F241" i="33"/>
  <c r="F238" i="33"/>
  <c r="F235" i="33"/>
  <c r="E235" i="33"/>
  <c r="E211" i="33"/>
  <c r="F211" i="33"/>
  <c r="E207" i="33"/>
  <c r="F207" i="33"/>
  <c r="I207" i="33"/>
  <c r="E201" i="33"/>
  <c r="F201" i="33"/>
  <c r="E197" i="33"/>
  <c r="F197" i="33"/>
  <c r="E163" i="33"/>
  <c r="F163" i="33"/>
  <c r="L162" i="33"/>
  <c r="E91" i="33"/>
  <c r="F91" i="33"/>
  <c r="F82" i="33"/>
  <c r="E68" i="33"/>
  <c r="F68" i="33"/>
  <c r="E61" i="33"/>
  <c r="F61" i="33"/>
  <c r="F56" i="33"/>
  <c r="E51" i="33"/>
  <c r="F51" i="33"/>
  <c r="I12" i="33"/>
  <c r="E12" i="33"/>
  <c r="F12" i="33"/>
  <c r="F371" i="33" l="1"/>
  <c r="E371" i="33"/>
  <c r="F231" i="33"/>
  <c r="F217" i="33" s="1"/>
  <c r="L419" i="33"/>
  <c r="D395" i="33"/>
  <c r="D387" i="33" s="1"/>
  <c r="K395" i="33"/>
  <c r="D403" i="33"/>
  <c r="F356" i="33"/>
  <c r="F150" i="33"/>
  <c r="E196" i="33"/>
  <c r="F196" i="33"/>
  <c r="E356" i="33"/>
  <c r="L395" i="33" l="1"/>
  <c r="J348" i="33"/>
  <c r="J347" i="33" s="1"/>
  <c r="D347" i="33"/>
  <c r="E355" i="33"/>
  <c r="E27" i="34"/>
  <c r="F355" i="33"/>
  <c r="F216" i="33"/>
  <c r="F47" i="49"/>
  <c r="F61" i="49"/>
  <c r="L42" i="49"/>
  <c r="L39" i="49" s="1"/>
  <c r="K42" i="49"/>
  <c r="K41" i="49"/>
  <c r="E43" i="49" l="1"/>
  <c r="D39" i="49"/>
  <c r="C39" i="49"/>
  <c r="E38" i="49"/>
  <c r="L394" i="33"/>
  <c r="E10" i="34" l="1"/>
  <c r="F10" i="34"/>
  <c r="D13" i="34"/>
  <c r="D11" i="34"/>
  <c r="D10" i="34" s="1"/>
  <c r="J303" i="33" l="1"/>
  <c r="J302" i="33" s="1"/>
  <c r="C12" i="34"/>
  <c r="C10" i="34"/>
  <c r="C9" i="34" l="1"/>
  <c r="K172" i="33" l="1"/>
  <c r="K173" i="33"/>
  <c r="L172" i="33" l="1"/>
  <c r="L173" i="33"/>
  <c r="J163" i="33"/>
  <c r="E151" i="33" l="1"/>
  <c r="E150" i="33" s="1"/>
  <c r="J151" i="33"/>
  <c r="C163" i="33"/>
  <c r="K148" i="33" l="1"/>
  <c r="L148" i="33" s="1"/>
  <c r="D125" i="33" l="1"/>
  <c r="D122" i="33" s="1"/>
  <c r="E23" i="33" l="1"/>
  <c r="K35" i="33"/>
  <c r="L35" i="33" l="1"/>
  <c r="K21" i="33" l="1"/>
  <c r="K22" i="33"/>
  <c r="L22" i="33" l="1"/>
  <c r="L21" i="33"/>
  <c r="I11" i="41" l="1"/>
  <c r="H11" i="41"/>
  <c r="G11" i="41" l="1"/>
  <c r="C46" i="43" l="1"/>
  <c r="D60" i="43" l="1"/>
  <c r="A4" i="57" l="1"/>
  <c r="E60" i="49"/>
  <c r="F60" i="49"/>
  <c r="C197" i="33" l="1"/>
  <c r="R31" i="49" l="1"/>
  <c r="L31" i="49" s="1"/>
  <c r="J43" i="49" l="1"/>
  <c r="F43" i="49" s="1"/>
  <c r="E47" i="49"/>
  <c r="E46" i="49" s="1"/>
  <c r="E41" i="49"/>
  <c r="E26" i="49"/>
  <c r="E22" i="49"/>
  <c r="E18" i="49"/>
  <c r="I18" i="49" s="1"/>
  <c r="H18" i="49" l="1"/>
  <c r="D49" i="49"/>
  <c r="C49" i="49"/>
  <c r="L68" i="49"/>
  <c r="K402" i="33" l="1"/>
  <c r="K401" i="33" s="1"/>
  <c r="K369" i="33"/>
  <c r="K370" i="33"/>
  <c r="K368" i="33" l="1"/>
  <c r="K123" i="33" l="1"/>
  <c r="D17" i="41"/>
  <c r="H17" i="41"/>
  <c r="G17" i="41" s="1"/>
  <c r="K234" i="33"/>
  <c r="K237" i="33"/>
  <c r="K240" i="33"/>
  <c r="K243" i="33"/>
  <c r="K246" i="33"/>
  <c r="K249" i="33"/>
  <c r="K252" i="33"/>
  <c r="K255" i="33"/>
  <c r="K258" i="33"/>
  <c r="K261" i="33"/>
  <c r="K264" i="33"/>
  <c r="K267" i="33"/>
  <c r="K270" i="33"/>
  <c r="K273" i="33"/>
  <c r="K276" i="33"/>
  <c r="K279" i="33"/>
  <c r="K282" i="33"/>
  <c r="K285" i="33"/>
  <c r="K288" i="33"/>
  <c r="K291" i="33"/>
  <c r="K294" i="33"/>
  <c r="K297" i="33"/>
  <c r="K300" i="33"/>
  <c r="K412" i="33"/>
  <c r="K212" i="33"/>
  <c r="K211" i="33" s="1"/>
  <c r="K213" i="33"/>
  <c r="K319" i="33"/>
  <c r="L344" i="33"/>
  <c r="C12" i="33"/>
  <c r="L350" i="33"/>
  <c r="L349" i="33"/>
  <c r="K136" i="33"/>
  <c r="K134" i="33"/>
  <c r="L134" i="33" s="1"/>
  <c r="K41" i="33"/>
  <c r="K40" i="33"/>
  <c r="K34" i="33"/>
  <c r="K32" i="33"/>
  <c r="K31" i="33"/>
  <c r="L31" i="33" s="1"/>
  <c r="K30" i="33"/>
  <c r="K389" i="33"/>
  <c r="K411" i="33"/>
  <c r="K413" i="33"/>
  <c r="K410" i="33"/>
  <c r="K390" i="33"/>
  <c r="K386" i="33"/>
  <c r="K385" i="33" s="1"/>
  <c r="K378" i="33"/>
  <c r="K377" i="33"/>
  <c r="K359" i="33"/>
  <c r="K360" i="33"/>
  <c r="K361" i="33"/>
  <c r="K339" i="33"/>
  <c r="K340" i="33"/>
  <c r="K341" i="33"/>
  <c r="K336" i="33"/>
  <c r="K335" i="33"/>
  <c r="K331" i="33"/>
  <c r="K324" i="33"/>
  <c r="K325" i="33"/>
  <c r="K326" i="33"/>
  <c r="K327" i="33"/>
  <c r="K329" i="33"/>
  <c r="K330" i="33"/>
  <c r="K316" i="33"/>
  <c r="K317" i="33"/>
  <c r="K209" i="33"/>
  <c r="K210" i="33"/>
  <c r="K208" i="33"/>
  <c r="K204" i="33"/>
  <c r="K205" i="33"/>
  <c r="K206" i="33"/>
  <c r="K202" i="33"/>
  <c r="K199" i="33"/>
  <c r="K200" i="33"/>
  <c r="K198" i="33"/>
  <c r="K193" i="33"/>
  <c r="K195" i="33"/>
  <c r="K184" i="33"/>
  <c r="K185" i="33"/>
  <c r="K186" i="33"/>
  <c r="K187" i="33"/>
  <c r="K188" i="33"/>
  <c r="K177" i="33"/>
  <c r="K178" i="33"/>
  <c r="K179" i="33"/>
  <c r="K166" i="33"/>
  <c r="K169" i="33"/>
  <c r="K170" i="33"/>
  <c r="K154" i="33"/>
  <c r="K155" i="33"/>
  <c r="K156" i="33"/>
  <c r="K157" i="33"/>
  <c r="K158" i="33"/>
  <c r="K159" i="33"/>
  <c r="K160" i="33"/>
  <c r="K161" i="33"/>
  <c r="K126" i="33"/>
  <c r="K132" i="33"/>
  <c r="K133" i="33"/>
  <c r="K146" i="33"/>
  <c r="K119" i="33"/>
  <c r="K121" i="33"/>
  <c r="K115" i="33"/>
  <c r="K102" i="33"/>
  <c r="K103" i="33"/>
  <c r="K104" i="33"/>
  <c r="K105" i="33"/>
  <c r="K106" i="33"/>
  <c r="K107" i="33"/>
  <c r="K108" i="33"/>
  <c r="K109" i="33"/>
  <c r="K94" i="33"/>
  <c r="K95" i="33"/>
  <c r="K98" i="33"/>
  <c r="K85" i="33"/>
  <c r="K86" i="33"/>
  <c r="K87" i="33"/>
  <c r="K88" i="33"/>
  <c r="K89" i="33"/>
  <c r="K90" i="33"/>
  <c r="K78" i="33"/>
  <c r="K79" i="33"/>
  <c r="K80" i="33"/>
  <c r="K81" i="33"/>
  <c r="K71" i="33"/>
  <c r="K72" i="33"/>
  <c r="K73" i="33"/>
  <c r="K74" i="33"/>
  <c r="K64" i="33"/>
  <c r="K65" i="33"/>
  <c r="K66" i="33"/>
  <c r="K67" i="33"/>
  <c r="K59" i="33"/>
  <c r="K60" i="33"/>
  <c r="K54" i="33"/>
  <c r="K55" i="33"/>
  <c r="K49" i="33"/>
  <c r="K42" i="33"/>
  <c r="K44" i="33"/>
  <c r="K45" i="33"/>
  <c r="K26" i="33"/>
  <c r="K33" i="33"/>
  <c r="K15" i="33"/>
  <c r="K18" i="33"/>
  <c r="K19" i="33"/>
  <c r="K20" i="33"/>
  <c r="J409" i="33"/>
  <c r="J403" i="33" s="1"/>
  <c r="L404" i="33"/>
  <c r="I343" i="33"/>
  <c r="K343" i="33"/>
  <c r="K342" i="33" s="1"/>
  <c r="D382" i="33"/>
  <c r="D371" i="33" s="1"/>
  <c r="I23" i="33"/>
  <c r="V66" i="49"/>
  <c r="Y66" i="49"/>
  <c r="AG66" i="49"/>
  <c r="AF66" i="49"/>
  <c r="AB66" i="49"/>
  <c r="C75" i="43"/>
  <c r="K393" i="33"/>
  <c r="A5" i="57"/>
  <c r="AF39" i="49"/>
  <c r="AF36" i="49" s="1"/>
  <c r="AE39" i="49"/>
  <c r="AE36" i="49" s="1"/>
  <c r="K303" i="33"/>
  <c r="K302" i="33" s="1"/>
  <c r="L305" i="33"/>
  <c r="L307" i="33"/>
  <c r="L304" i="33"/>
  <c r="K254" i="33"/>
  <c r="I244" i="33"/>
  <c r="I235" i="33"/>
  <c r="K257" i="33"/>
  <c r="E9" i="56"/>
  <c r="E8" i="56" s="1"/>
  <c r="F9" i="56"/>
  <c r="G9" i="56"/>
  <c r="H9" i="56"/>
  <c r="H8" i="56"/>
  <c r="I9" i="56"/>
  <c r="J9" i="56"/>
  <c r="K9" i="56"/>
  <c r="L9" i="56"/>
  <c r="M9" i="56"/>
  <c r="M8" i="56" s="1"/>
  <c r="N9" i="56"/>
  <c r="O9" i="56"/>
  <c r="P9" i="56"/>
  <c r="Q9" i="56"/>
  <c r="R9" i="56"/>
  <c r="C10" i="56"/>
  <c r="C9" i="56"/>
  <c r="D10" i="56"/>
  <c r="D9" i="56" s="1"/>
  <c r="E11" i="56"/>
  <c r="F11" i="56"/>
  <c r="G11" i="56"/>
  <c r="H11" i="56"/>
  <c r="I11" i="56"/>
  <c r="J11" i="56"/>
  <c r="J8" i="56" s="1"/>
  <c r="K11" i="56"/>
  <c r="L11" i="56"/>
  <c r="M11" i="56"/>
  <c r="N11" i="56"/>
  <c r="O11" i="56"/>
  <c r="P11" i="56"/>
  <c r="Q11" i="56"/>
  <c r="R11" i="56"/>
  <c r="C12" i="56"/>
  <c r="C11" i="56" s="1"/>
  <c r="D12" i="56"/>
  <c r="D11" i="56" s="1"/>
  <c r="D23" i="55"/>
  <c r="E23" i="55"/>
  <c r="D37" i="55"/>
  <c r="D31" i="55" s="1"/>
  <c r="E37" i="55"/>
  <c r="E31" i="55" s="1"/>
  <c r="E46" i="55"/>
  <c r="D47" i="55"/>
  <c r="A3" i="54"/>
  <c r="A3" i="55" s="1"/>
  <c r="A3" i="56" s="1"/>
  <c r="D11" i="54"/>
  <c r="D10" i="54" s="1"/>
  <c r="F14" i="54"/>
  <c r="G16" i="54"/>
  <c r="H16" i="54"/>
  <c r="I16" i="54"/>
  <c r="J16" i="54"/>
  <c r="K16" i="54"/>
  <c r="G17" i="54"/>
  <c r="G11" i="54" s="1"/>
  <c r="H17" i="54"/>
  <c r="H11" i="54" s="1"/>
  <c r="I17" i="54"/>
  <c r="I11" i="54" s="1"/>
  <c r="I10" i="54" s="1"/>
  <c r="J17" i="54"/>
  <c r="J11" i="54" s="1"/>
  <c r="K17" i="54"/>
  <c r="K11" i="54"/>
  <c r="K10" i="54" s="1"/>
  <c r="K7" i="54" s="1"/>
  <c r="L17" i="54"/>
  <c r="L11" i="54" s="1"/>
  <c r="L10" i="54" s="1"/>
  <c r="M17" i="54"/>
  <c r="M11" i="54"/>
  <c r="M10" i="54" s="1"/>
  <c r="N17" i="54"/>
  <c r="N11" i="54" s="1"/>
  <c r="N10" i="54" s="1"/>
  <c r="O17" i="54"/>
  <c r="O11" i="54" s="1"/>
  <c r="O10" i="54" s="1"/>
  <c r="P17" i="54"/>
  <c r="Q17" i="54"/>
  <c r="Q11" i="54" s="1"/>
  <c r="Q10" i="54" s="1"/>
  <c r="F20" i="54"/>
  <c r="E20" i="54" s="1"/>
  <c r="E21" i="54"/>
  <c r="G22" i="54"/>
  <c r="H22" i="54"/>
  <c r="H19" i="54" s="1"/>
  <c r="I22" i="54"/>
  <c r="J22" i="54"/>
  <c r="K22" i="54"/>
  <c r="L22" i="54"/>
  <c r="M22" i="54"/>
  <c r="N22" i="54"/>
  <c r="N13" i="54"/>
  <c r="N9" i="54" s="1"/>
  <c r="O22" i="54"/>
  <c r="P22" i="54"/>
  <c r="Q22" i="54"/>
  <c r="F23" i="54"/>
  <c r="E24" i="54"/>
  <c r="G25" i="54"/>
  <c r="H25" i="54"/>
  <c r="I25" i="54"/>
  <c r="I19" i="54" s="1"/>
  <c r="J25" i="54"/>
  <c r="K25" i="54"/>
  <c r="K19" i="54" s="1"/>
  <c r="L25" i="54"/>
  <c r="L19" i="54" s="1"/>
  <c r="L13" i="54" s="1"/>
  <c r="M25" i="54"/>
  <c r="N25" i="54"/>
  <c r="N19" i="54" s="1"/>
  <c r="O25" i="54"/>
  <c r="P25" i="54"/>
  <c r="Q25" i="54"/>
  <c r="G26" i="54"/>
  <c r="H26" i="54"/>
  <c r="I26" i="54"/>
  <c r="J26" i="54"/>
  <c r="K26" i="54"/>
  <c r="L26" i="54"/>
  <c r="F32" i="54"/>
  <c r="G34" i="54"/>
  <c r="G28" i="54" s="1"/>
  <c r="H34" i="54"/>
  <c r="H28" i="54" s="1"/>
  <c r="I34" i="54"/>
  <c r="I28" i="54" s="1"/>
  <c r="J34" i="54"/>
  <c r="J28" i="54" s="1"/>
  <c r="K34" i="54"/>
  <c r="K28" i="54" s="1"/>
  <c r="L34" i="54"/>
  <c r="L28" i="54" s="1"/>
  <c r="M34" i="54"/>
  <c r="M28" i="54" s="1"/>
  <c r="N34" i="54"/>
  <c r="N28" i="54" s="1"/>
  <c r="O34" i="54"/>
  <c r="O28" i="54" s="1"/>
  <c r="P34" i="54"/>
  <c r="P28" i="54" s="1"/>
  <c r="Q34" i="54"/>
  <c r="Q28" i="54" s="1"/>
  <c r="F35" i="54"/>
  <c r="F37" i="54" s="1"/>
  <c r="E37" i="54"/>
  <c r="G37" i="54"/>
  <c r="H37" i="54"/>
  <c r="I37" i="54"/>
  <c r="J37" i="54"/>
  <c r="K37" i="54"/>
  <c r="L37" i="54"/>
  <c r="M37" i="54"/>
  <c r="N37" i="54"/>
  <c r="O37" i="54"/>
  <c r="P37" i="54"/>
  <c r="Q37" i="54"/>
  <c r="F38" i="54"/>
  <c r="F39" i="54"/>
  <c r="D40" i="54"/>
  <c r="F41" i="54"/>
  <c r="E41" i="54"/>
  <c r="F42" i="54"/>
  <c r="E42" i="54" s="1"/>
  <c r="F43" i="54"/>
  <c r="E43" i="54" s="1"/>
  <c r="E44" i="54"/>
  <c r="E45" i="54"/>
  <c r="G45" i="54"/>
  <c r="H45" i="54"/>
  <c r="I45" i="54"/>
  <c r="J45" i="54"/>
  <c r="K45" i="54"/>
  <c r="L45" i="54"/>
  <c r="M45" i="54"/>
  <c r="N45" i="54"/>
  <c r="O45" i="54"/>
  <c r="P45" i="54"/>
  <c r="Q45" i="54"/>
  <c r="F46" i="54"/>
  <c r="E46" i="54" s="1"/>
  <c r="G47" i="54"/>
  <c r="H47" i="54"/>
  <c r="H40" i="54" s="1"/>
  <c r="I47" i="54"/>
  <c r="I40" i="54"/>
  <c r="J47" i="54"/>
  <c r="J40" i="54" s="1"/>
  <c r="K47" i="54"/>
  <c r="K40" i="54" s="1"/>
  <c r="L47" i="54"/>
  <c r="L40" i="54"/>
  <c r="M47" i="54"/>
  <c r="M40" i="54" s="1"/>
  <c r="N47" i="54"/>
  <c r="N40" i="54"/>
  <c r="O47" i="54"/>
  <c r="O40" i="54" s="1"/>
  <c r="P47" i="54"/>
  <c r="P40" i="54"/>
  <c r="Q47" i="54"/>
  <c r="F48" i="54"/>
  <c r="E48" i="54" s="1"/>
  <c r="F49" i="54"/>
  <c r="E49" i="54" s="1"/>
  <c r="F50" i="54"/>
  <c r="E50" i="54" s="1"/>
  <c r="D51" i="54"/>
  <c r="E52" i="54"/>
  <c r="E53" i="54"/>
  <c r="F54" i="54"/>
  <c r="E54" i="54" s="1"/>
  <c r="E55" i="54"/>
  <c r="G56" i="54"/>
  <c r="H56" i="54"/>
  <c r="I56" i="54"/>
  <c r="J56" i="54"/>
  <c r="K56" i="54"/>
  <c r="L56" i="54"/>
  <c r="M56" i="54"/>
  <c r="N56" i="54"/>
  <c r="O56" i="54"/>
  <c r="P56" i="54"/>
  <c r="Q56" i="54"/>
  <c r="F57" i="54"/>
  <c r="E57" i="54" s="1"/>
  <c r="I58" i="54"/>
  <c r="J58" i="54"/>
  <c r="K58" i="54"/>
  <c r="L58" i="54"/>
  <c r="M58" i="54"/>
  <c r="O58" i="54"/>
  <c r="P58" i="54"/>
  <c r="Q58" i="54"/>
  <c r="G59" i="54"/>
  <c r="G58" i="54" s="1"/>
  <c r="H59" i="54"/>
  <c r="H58" i="54" s="1"/>
  <c r="N59" i="54"/>
  <c r="F60" i="54"/>
  <c r="E60" i="54"/>
  <c r="G61" i="54"/>
  <c r="H61" i="54"/>
  <c r="I61" i="54"/>
  <c r="J61" i="54"/>
  <c r="K61" i="54"/>
  <c r="L61" i="54"/>
  <c r="M61" i="54"/>
  <c r="N61" i="54"/>
  <c r="O61" i="54"/>
  <c r="P61" i="54"/>
  <c r="Q61" i="54"/>
  <c r="F62" i="54"/>
  <c r="F63" i="54"/>
  <c r="E63" i="54" s="1"/>
  <c r="D64" i="54"/>
  <c r="G64" i="54"/>
  <c r="H64" i="54"/>
  <c r="I64" i="54"/>
  <c r="J64" i="54"/>
  <c r="K64" i="54"/>
  <c r="L64" i="54"/>
  <c r="M64" i="54"/>
  <c r="N64" i="54"/>
  <c r="O64" i="54"/>
  <c r="P64" i="54"/>
  <c r="Q64" i="54"/>
  <c r="F65" i="54"/>
  <c r="E65" i="54" s="1"/>
  <c r="F66" i="54"/>
  <c r="F67" i="54"/>
  <c r="E67" i="54"/>
  <c r="F68" i="54"/>
  <c r="E68" i="54" s="1"/>
  <c r="F69" i="54"/>
  <c r="E70" i="54"/>
  <c r="E72" i="54"/>
  <c r="F73" i="54"/>
  <c r="E73" i="54" s="1"/>
  <c r="E74" i="54"/>
  <c r="G75" i="54"/>
  <c r="H75" i="54"/>
  <c r="H71" i="54" s="1"/>
  <c r="I75" i="54"/>
  <c r="I71" i="54" s="1"/>
  <c r="J75" i="54"/>
  <c r="J71" i="54" s="1"/>
  <c r="K75" i="54"/>
  <c r="K71" i="54" s="1"/>
  <c r="L75" i="54"/>
  <c r="L71" i="54" s="1"/>
  <c r="G76" i="54"/>
  <c r="H76" i="54"/>
  <c r="I76" i="54"/>
  <c r="J76" i="54"/>
  <c r="K76" i="54"/>
  <c r="L76" i="54"/>
  <c r="M76" i="54"/>
  <c r="N76" i="54"/>
  <c r="O76" i="54"/>
  <c r="P76" i="54"/>
  <c r="Q76" i="54"/>
  <c r="F77" i="54"/>
  <c r="E77" i="54"/>
  <c r="E10" i="53"/>
  <c r="E11" i="53"/>
  <c r="E12" i="53"/>
  <c r="D13" i="53"/>
  <c r="E14" i="53"/>
  <c r="E15" i="53"/>
  <c r="E16" i="53"/>
  <c r="E17" i="53"/>
  <c r="E18" i="53"/>
  <c r="E19" i="53"/>
  <c r="D21" i="53"/>
  <c r="E22" i="53"/>
  <c r="E23" i="53"/>
  <c r="E24" i="53"/>
  <c r="E9" i="51"/>
  <c r="I9" i="51"/>
  <c r="J9" i="51" s="1"/>
  <c r="E10" i="51"/>
  <c r="E11" i="51"/>
  <c r="I11" i="51" s="1"/>
  <c r="J11" i="51" s="1"/>
  <c r="E12" i="51"/>
  <c r="I12" i="51" s="1"/>
  <c r="I13" i="51" s="1"/>
  <c r="F13" i="51"/>
  <c r="G13" i="51"/>
  <c r="H13" i="51"/>
  <c r="D8" i="43"/>
  <c r="E8" i="43"/>
  <c r="F8" i="43"/>
  <c r="G8" i="43"/>
  <c r="I8" i="43"/>
  <c r="J8" i="43"/>
  <c r="K8" i="43"/>
  <c r="L8" i="43"/>
  <c r="M8" i="43"/>
  <c r="N8" i="43"/>
  <c r="C35" i="43"/>
  <c r="D36" i="43"/>
  <c r="E36" i="43"/>
  <c r="F36" i="43"/>
  <c r="G36" i="43"/>
  <c r="H36" i="43"/>
  <c r="I36" i="43"/>
  <c r="J36" i="43"/>
  <c r="K36" i="43"/>
  <c r="L36" i="43"/>
  <c r="M36" i="43"/>
  <c r="N36" i="43"/>
  <c r="D37" i="43"/>
  <c r="E37" i="43"/>
  <c r="F37" i="43"/>
  <c r="G37" i="43"/>
  <c r="H37" i="43"/>
  <c r="I37" i="43"/>
  <c r="J37" i="43"/>
  <c r="K37" i="43"/>
  <c r="L37" i="43"/>
  <c r="M37" i="43"/>
  <c r="N37" i="43"/>
  <c r="D38" i="43"/>
  <c r="E38" i="43"/>
  <c r="F38" i="43"/>
  <c r="G38" i="43"/>
  <c r="H38" i="43"/>
  <c r="I38" i="43"/>
  <c r="J38" i="43"/>
  <c r="K38" i="43"/>
  <c r="L38" i="43"/>
  <c r="M38" i="43"/>
  <c r="N38" i="43"/>
  <c r="C39" i="43"/>
  <c r="C43" i="43"/>
  <c r="C44" i="43"/>
  <c r="C45" i="43"/>
  <c r="C47" i="43"/>
  <c r="C48" i="43"/>
  <c r="F27" i="34" s="1"/>
  <c r="C53" i="43"/>
  <c r="G55" i="43"/>
  <c r="G49" i="43" s="1"/>
  <c r="C49" i="43" s="1"/>
  <c r="D56" i="43"/>
  <c r="E56" i="43"/>
  <c r="F56" i="43"/>
  <c r="G56" i="43"/>
  <c r="H56" i="43"/>
  <c r="I56" i="43"/>
  <c r="J56" i="43"/>
  <c r="K56" i="43"/>
  <c r="L56" i="43"/>
  <c r="M56" i="43"/>
  <c r="N56" i="43"/>
  <c r="C57" i="43"/>
  <c r="C58" i="43"/>
  <c r="F21" i="34" s="1"/>
  <c r="C59" i="43"/>
  <c r="F23" i="34" s="1"/>
  <c r="C61" i="43"/>
  <c r="C62" i="43"/>
  <c r="C68" i="43"/>
  <c r="C69" i="43"/>
  <c r="C72" i="43"/>
  <c r="F29" i="34" s="1"/>
  <c r="C73" i="43"/>
  <c r="C74" i="43"/>
  <c r="C76" i="43"/>
  <c r="C77" i="43"/>
  <c r="L16" i="33"/>
  <c r="C23" i="33"/>
  <c r="L29" i="33"/>
  <c r="C37" i="33"/>
  <c r="J37" i="33"/>
  <c r="C46" i="33"/>
  <c r="C51" i="33"/>
  <c r="J51" i="33"/>
  <c r="I51" i="33"/>
  <c r="C56" i="33"/>
  <c r="J56" i="33"/>
  <c r="C61" i="33"/>
  <c r="J61" i="33"/>
  <c r="C68" i="33"/>
  <c r="J68" i="33"/>
  <c r="C75" i="33"/>
  <c r="K76" i="33"/>
  <c r="C82" i="33"/>
  <c r="E82" i="33"/>
  <c r="K83" i="33"/>
  <c r="J82" i="33"/>
  <c r="C91" i="33"/>
  <c r="J91" i="33"/>
  <c r="K92" i="33"/>
  <c r="C99" i="33"/>
  <c r="K100" i="33"/>
  <c r="C116" i="33"/>
  <c r="L120" i="33"/>
  <c r="C122" i="33"/>
  <c r="L127" i="33"/>
  <c r="L129" i="33"/>
  <c r="L131" i="33"/>
  <c r="C150" i="33"/>
  <c r="C151" i="33"/>
  <c r="I163" i="33"/>
  <c r="L171" i="33"/>
  <c r="C174" i="33"/>
  <c r="K175" i="33"/>
  <c r="C181" i="33"/>
  <c r="C190" i="33"/>
  <c r="I197" i="33"/>
  <c r="J197" i="33"/>
  <c r="I201" i="33"/>
  <c r="J201" i="33"/>
  <c r="C207" i="33"/>
  <c r="C196" i="33" s="1"/>
  <c r="J207" i="33"/>
  <c r="I211" i="33"/>
  <c r="J211" i="33"/>
  <c r="L218" i="33"/>
  <c r="L219" i="33"/>
  <c r="E232" i="33"/>
  <c r="J232" i="33"/>
  <c r="J235" i="33"/>
  <c r="E238" i="33"/>
  <c r="J238" i="33"/>
  <c r="E241" i="33"/>
  <c r="J241" i="33"/>
  <c r="E244" i="33"/>
  <c r="J244" i="33"/>
  <c r="E247" i="33"/>
  <c r="J247" i="33"/>
  <c r="E250" i="33"/>
  <c r="J250" i="33"/>
  <c r="E253" i="33"/>
  <c r="J253" i="33"/>
  <c r="E256" i="33"/>
  <c r="J256" i="33"/>
  <c r="E259" i="33"/>
  <c r="J259" i="33"/>
  <c r="I259" i="33"/>
  <c r="E262" i="33"/>
  <c r="J262" i="33"/>
  <c r="K263" i="33"/>
  <c r="E265" i="33"/>
  <c r="J265" i="33"/>
  <c r="I265" i="33"/>
  <c r="E268" i="33"/>
  <c r="J268" i="33"/>
  <c r="I268" i="33"/>
  <c r="E271" i="33"/>
  <c r="J271" i="33"/>
  <c r="E274" i="33"/>
  <c r="J274" i="33"/>
  <c r="E277" i="33"/>
  <c r="J277" i="33"/>
  <c r="I277" i="33"/>
  <c r="E280" i="33"/>
  <c r="J280" i="33"/>
  <c r="K281" i="33"/>
  <c r="E283" i="33"/>
  <c r="J283" i="33"/>
  <c r="E286" i="33"/>
  <c r="J286" i="33"/>
  <c r="I286" i="33"/>
  <c r="E289" i="33"/>
  <c r="J289" i="33"/>
  <c r="I289" i="33"/>
  <c r="E292" i="33"/>
  <c r="J292" i="33"/>
  <c r="E295" i="33"/>
  <c r="J295" i="33"/>
  <c r="J298" i="33"/>
  <c r="K299" i="33"/>
  <c r="J314" i="33"/>
  <c r="J313" i="33" s="1"/>
  <c r="K315" i="33"/>
  <c r="L318" i="33"/>
  <c r="C321" i="33"/>
  <c r="J334" i="33"/>
  <c r="C337" i="33"/>
  <c r="J337" i="33"/>
  <c r="K338" i="33"/>
  <c r="I348" i="33"/>
  <c r="I347" i="33" s="1"/>
  <c r="K348" i="33"/>
  <c r="K347" i="33" s="1"/>
  <c r="L351" i="33"/>
  <c r="L352" i="33"/>
  <c r="L353" i="33"/>
  <c r="K358" i="33"/>
  <c r="K357" i="33" s="1"/>
  <c r="L362" i="33"/>
  <c r="I364" i="33"/>
  <c r="J364" i="33"/>
  <c r="L366" i="33"/>
  <c r="L367" i="33"/>
  <c r="I368" i="33"/>
  <c r="J368" i="33"/>
  <c r="L369" i="33"/>
  <c r="L370" i="33"/>
  <c r="I372" i="33"/>
  <c r="J372" i="33"/>
  <c r="L373" i="33"/>
  <c r="L375" i="33"/>
  <c r="L380" i="33"/>
  <c r="L381" i="33"/>
  <c r="I382" i="33"/>
  <c r="I385" i="33"/>
  <c r="J385" i="33"/>
  <c r="L398" i="33"/>
  <c r="J399" i="33"/>
  <c r="J397" i="33" s="1"/>
  <c r="K399" i="33"/>
  <c r="K397" i="33" s="1"/>
  <c r="I401" i="33"/>
  <c r="J401" i="33"/>
  <c r="E18" i="34"/>
  <c r="D18" i="34" s="1"/>
  <c r="C18" i="34" s="1"/>
  <c r="L406" i="33"/>
  <c r="L408" i="33"/>
  <c r="I409" i="33"/>
  <c r="I403" i="33" s="1"/>
  <c r="L418" i="33"/>
  <c r="L417" i="33" s="1"/>
  <c r="A5" i="49"/>
  <c r="C13" i="49"/>
  <c r="D13" i="49"/>
  <c r="J13" i="49"/>
  <c r="K13" i="49"/>
  <c r="L13" i="49"/>
  <c r="M13" i="49"/>
  <c r="N13" i="49"/>
  <c r="O13" i="49"/>
  <c r="P13" i="49"/>
  <c r="Q13" i="49"/>
  <c r="R13" i="49"/>
  <c r="S13" i="49"/>
  <c r="T13" i="49"/>
  <c r="U13" i="49"/>
  <c r="V13" i="49"/>
  <c r="W13" i="49"/>
  <c r="X13" i="49"/>
  <c r="Y13" i="49"/>
  <c r="Z13" i="49"/>
  <c r="AA13" i="49"/>
  <c r="AB13" i="49"/>
  <c r="AC13" i="49"/>
  <c r="AD13" i="49"/>
  <c r="AE13" i="49"/>
  <c r="AF13" i="49"/>
  <c r="AG13" i="49"/>
  <c r="AH13" i="49"/>
  <c r="E14" i="49"/>
  <c r="F14" i="49"/>
  <c r="E15" i="49"/>
  <c r="E16" i="49"/>
  <c r="C17" i="49"/>
  <c r="D17" i="49"/>
  <c r="K17" i="49"/>
  <c r="M17" i="49"/>
  <c r="N17" i="49"/>
  <c r="O17" i="49"/>
  <c r="P17" i="49"/>
  <c r="Q17" i="49"/>
  <c r="R17" i="49"/>
  <c r="S17" i="49"/>
  <c r="T17" i="49"/>
  <c r="U17" i="49"/>
  <c r="V17" i="49"/>
  <c r="W17" i="49"/>
  <c r="X17" i="49"/>
  <c r="Y17" i="49"/>
  <c r="Z17" i="49"/>
  <c r="AA17" i="49"/>
  <c r="AB17" i="49"/>
  <c r="AC17" i="49"/>
  <c r="AD17" i="49"/>
  <c r="AE17" i="49"/>
  <c r="AF17" i="49"/>
  <c r="AG17" i="49"/>
  <c r="AH17" i="49"/>
  <c r="L18" i="49"/>
  <c r="E19" i="49"/>
  <c r="J19" i="49"/>
  <c r="E20" i="49"/>
  <c r="L20" i="49"/>
  <c r="E21" i="49"/>
  <c r="I21" i="49" s="1"/>
  <c r="F21" i="49" s="1"/>
  <c r="L21" i="49"/>
  <c r="J22" i="49"/>
  <c r="E23" i="49"/>
  <c r="H23" i="49" s="1"/>
  <c r="E24" i="49"/>
  <c r="E25" i="49"/>
  <c r="H25" i="49" s="1"/>
  <c r="F25" i="49" s="1"/>
  <c r="L25" i="49"/>
  <c r="L22" i="49"/>
  <c r="L26" i="49"/>
  <c r="E27" i="49"/>
  <c r="H27" i="49" s="1"/>
  <c r="J27" i="49"/>
  <c r="K27" i="49"/>
  <c r="L27" i="49"/>
  <c r="M27" i="49"/>
  <c r="N27" i="49"/>
  <c r="O27" i="49"/>
  <c r="P27" i="49"/>
  <c r="Q27" i="49"/>
  <c r="R27" i="49"/>
  <c r="S27" i="49"/>
  <c r="T27" i="49"/>
  <c r="U27" i="49"/>
  <c r="V27" i="49"/>
  <c r="W27" i="49"/>
  <c r="X27" i="49"/>
  <c r="Y27" i="49"/>
  <c r="Z27" i="49"/>
  <c r="AA27" i="49"/>
  <c r="AB27" i="49"/>
  <c r="AC27" i="49"/>
  <c r="AD27" i="49"/>
  <c r="AE27" i="49"/>
  <c r="AF27" i="49"/>
  <c r="AG27" i="49"/>
  <c r="AH27" i="49"/>
  <c r="E28" i="49"/>
  <c r="I28" i="49" s="1"/>
  <c r="E29" i="49"/>
  <c r="H29" i="49" s="1"/>
  <c r="E30" i="49"/>
  <c r="H30" i="49" s="1"/>
  <c r="E31" i="49"/>
  <c r="I31" i="49" s="1"/>
  <c r="E32" i="49"/>
  <c r="J32" i="49" s="1"/>
  <c r="F32" i="49" s="1"/>
  <c r="K32" i="49"/>
  <c r="E33" i="49"/>
  <c r="I33" i="49" s="1"/>
  <c r="H33" i="49"/>
  <c r="M33" i="49"/>
  <c r="N33" i="49"/>
  <c r="O33" i="49"/>
  <c r="P33" i="49"/>
  <c r="S33" i="49"/>
  <c r="T33" i="49"/>
  <c r="U33" i="49"/>
  <c r="V33" i="49"/>
  <c r="W33" i="49"/>
  <c r="X33" i="49"/>
  <c r="Y33" i="49"/>
  <c r="Z33" i="49"/>
  <c r="AA33" i="49"/>
  <c r="AB33" i="49"/>
  <c r="AC33" i="49"/>
  <c r="AD33" i="49"/>
  <c r="AE33" i="49"/>
  <c r="AF33" i="49"/>
  <c r="AG33" i="49"/>
  <c r="AH33" i="49"/>
  <c r="E34" i="49"/>
  <c r="F34" i="49" s="1"/>
  <c r="K34" i="49"/>
  <c r="L34" i="49"/>
  <c r="E35" i="49"/>
  <c r="F35" i="49" s="1"/>
  <c r="I35" i="49" s="1"/>
  <c r="K35" i="49"/>
  <c r="L35" i="49"/>
  <c r="E37" i="49"/>
  <c r="K37" i="49"/>
  <c r="L37" i="49"/>
  <c r="G39" i="49"/>
  <c r="G36" i="49" s="1"/>
  <c r="H39" i="49"/>
  <c r="H36" i="49" s="1"/>
  <c r="J39" i="49"/>
  <c r="J36" i="49" s="1"/>
  <c r="M39" i="49"/>
  <c r="M36" i="49" s="1"/>
  <c r="N39" i="49"/>
  <c r="N36" i="49" s="1"/>
  <c r="O39" i="49"/>
  <c r="O36" i="49" s="1"/>
  <c r="P39" i="49"/>
  <c r="P36" i="49" s="1"/>
  <c r="Q39" i="49"/>
  <c r="Q36" i="49" s="1"/>
  <c r="R39" i="49"/>
  <c r="R36" i="49" s="1"/>
  <c r="S39" i="49"/>
  <c r="S36" i="49" s="1"/>
  <c r="T39" i="49"/>
  <c r="T36" i="49" s="1"/>
  <c r="U39" i="49"/>
  <c r="U36" i="49" s="1"/>
  <c r="V39" i="49"/>
  <c r="V36" i="49" s="1"/>
  <c r="W39" i="49"/>
  <c r="W36" i="49" s="1"/>
  <c r="X39" i="49"/>
  <c r="X36" i="49" s="1"/>
  <c r="Y39" i="49"/>
  <c r="Y36" i="49" s="1"/>
  <c r="Z39" i="49"/>
  <c r="Z36" i="49" s="1"/>
  <c r="AA39" i="49"/>
  <c r="AA36" i="49" s="1"/>
  <c r="AB39" i="49"/>
  <c r="AB36" i="49" s="1"/>
  <c r="AC39" i="49"/>
  <c r="AC36" i="49" s="1"/>
  <c r="AD39" i="49"/>
  <c r="AD36" i="49" s="1"/>
  <c r="AG39" i="49"/>
  <c r="AG36" i="49" s="1"/>
  <c r="AH39" i="49"/>
  <c r="AH36" i="49" s="1"/>
  <c r="E40" i="49"/>
  <c r="F40" i="49"/>
  <c r="K39" i="49"/>
  <c r="K36" i="49" s="1"/>
  <c r="L36" i="49"/>
  <c r="E42" i="49"/>
  <c r="I42" i="49" s="1"/>
  <c r="I36" i="49" s="1"/>
  <c r="L44" i="49"/>
  <c r="M44" i="49"/>
  <c r="N44" i="49"/>
  <c r="O44" i="49"/>
  <c r="P44" i="49"/>
  <c r="Q44" i="49"/>
  <c r="R44" i="49"/>
  <c r="S44" i="49"/>
  <c r="T44" i="49"/>
  <c r="U44" i="49"/>
  <c r="V44" i="49"/>
  <c r="W44" i="49"/>
  <c r="X44" i="49"/>
  <c r="Y44" i="49"/>
  <c r="Z44" i="49"/>
  <c r="AA44" i="49"/>
  <c r="AB44" i="49"/>
  <c r="AC44" i="49"/>
  <c r="AD44" i="49"/>
  <c r="AE44" i="49"/>
  <c r="AF44" i="49"/>
  <c r="AG44" i="49"/>
  <c r="AH44" i="49"/>
  <c r="C46" i="49"/>
  <c r="C44" i="49" s="1"/>
  <c r="D46" i="49"/>
  <c r="D44" i="49" s="1"/>
  <c r="G46" i="49"/>
  <c r="I46" i="49"/>
  <c r="J46" i="49"/>
  <c r="F46" i="49"/>
  <c r="K47" i="49"/>
  <c r="H48" i="49"/>
  <c r="H46" i="49" s="1"/>
  <c r="G49" i="49"/>
  <c r="J49" i="49"/>
  <c r="E50" i="49"/>
  <c r="F50" i="49"/>
  <c r="E51" i="49"/>
  <c r="F51" i="49"/>
  <c r="I49" i="49"/>
  <c r="K51" i="49"/>
  <c r="E52" i="49"/>
  <c r="F52" i="49"/>
  <c r="K52" i="49"/>
  <c r="E53" i="49"/>
  <c r="F53" i="49"/>
  <c r="K53" i="49"/>
  <c r="E54" i="49"/>
  <c r="F54" i="49"/>
  <c r="E55" i="49"/>
  <c r="E56" i="49"/>
  <c r="K57" i="49"/>
  <c r="L57" i="49"/>
  <c r="M57" i="49"/>
  <c r="N57" i="49"/>
  <c r="O57" i="49"/>
  <c r="P57" i="49"/>
  <c r="Q57" i="49"/>
  <c r="R57" i="49"/>
  <c r="S57" i="49"/>
  <c r="T57" i="49"/>
  <c r="U57" i="49"/>
  <c r="V57" i="49"/>
  <c r="W57" i="49"/>
  <c r="X57" i="49"/>
  <c r="Y57" i="49"/>
  <c r="Z57" i="49"/>
  <c r="AA57" i="49"/>
  <c r="AB57" i="49"/>
  <c r="AC57" i="49"/>
  <c r="AD57" i="49"/>
  <c r="AE57" i="49"/>
  <c r="AF57" i="49"/>
  <c r="AG57" i="49"/>
  <c r="AH57" i="49"/>
  <c r="F57" i="49"/>
  <c r="J58" i="49"/>
  <c r="E59" i="49"/>
  <c r="F59" i="49"/>
  <c r="E61" i="49"/>
  <c r="E62" i="49"/>
  <c r="F62" i="49"/>
  <c r="E63" i="49"/>
  <c r="C64" i="49"/>
  <c r="D64" i="49"/>
  <c r="G66" i="49"/>
  <c r="G64" i="49" s="1"/>
  <c r="H66" i="49"/>
  <c r="H64" i="49" s="1"/>
  <c r="L67" i="49"/>
  <c r="K67" i="49" s="1"/>
  <c r="J67" i="49" s="1"/>
  <c r="E17" i="41" s="1"/>
  <c r="A3" i="34"/>
  <c r="E12" i="34"/>
  <c r="E9" i="34" s="1"/>
  <c r="F12" i="34"/>
  <c r="F9" i="34" s="1"/>
  <c r="D12" i="34"/>
  <c r="I9" i="41"/>
  <c r="H10" i="41"/>
  <c r="G10" i="41" s="1"/>
  <c r="G9" i="41" s="1"/>
  <c r="C14" i="41"/>
  <c r="G16" i="41"/>
  <c r="B19" i="41"/>
  <c r="D19" i="41"/>
  <c r="E19" i="41"/>
  <c r="C21" i="41"/>
  <c r="C19" i="41"/>
  <c r="I10" i="51"/>
  <c r="J10" i="51"/>
  <c r="E66" i="54"/>
  <c r="H13" i="49"/>
  <c r="I13" i="49"/>
  <c r="Q19" i="54"/>
  <c r="Q13" i="54"/>
  <c r="Q9" i="54" s="1"/>
  <c r="Q8" i="54" s="1"/>
  <c r="F22" i="54"/>
  <c r="E22" i="54"/>
  <c r="S66" i="49"/>
  <c r="J19" i="54"/>
  <c r="P8" i="56"/>
  <c r="M19" i="54"/>
  <c r="H18" i="54"/>
  <c r="N8" i="56"/>
  <c r="R8" i="56"/>
  <c r="C33" i="43"/>
  <c r="P33" i="43" s="1"/>
  <c r="C18" i="41"/>
  <c r="B18" i="41" s="1"/>
  <c r="A4" i="51"/>
  <c r="U66" i="49"/>
  <c r="G18" i="41"/>
  <c r="I7" i="54"/>
  <c r="L18" i="54"/>
  <c r="F8" i="56"/>
  <c r="L9" i="54"/>
  <c r="L8" i="54" s="1"/>
  <c r="J10" i="54"/>
  <c r="J7" i="54" s="1"/>
  <c r="L354" i="33"/>
  <c r="AA66" i="49"/>
  <c r="AE66" i="49"/>
  <c r="N58" i="54"/>
  <c r="F59" i="54"/>
  <c r="E59" i="54" s="1"/>
  <c r="E23" i="54"/>
  <c r="F25" i="54"/>
  <c r="E25" i="54"/>
  <c r="F76" i="54"/>
  <c r="E76" i="54" s="1"/>
  <c r="O66" i="49"/>
  <c r="P66" i="49"/>
  <c r="Q66" i="49"/>
  <c r="R66" i="49"/>
  <c r="E13" i="51"/>
  <c r="I30" i="49"/>
  <c r="L345" i="33"/>
  <c r="N7" i="54"/>
  <c r="Z66" i="49"/>
  <c r="G40" i="54"/>
  <c r="G7" i="54" s="1"/>
  <c r="F26" i="54"/>
  <c r="F28" i="54" s="1"/>
  <c r="G10" i="54"/>
  <c r="P11" i="54"/>
  <c r="P10" i="54" s="1"/>
  <c r="P7" i="54" s="1"/>
  <c r="I25" i="49"/>
  <c r="J57" i="49"/>
  <c r="N18" i="54"/>
  <c r="I27" i="49"/>
  <c r="O7" i="54"/>
  <c r="C8" i="56"/>
  <c r="G71" i="54"/>
  <c r="F71" i="54" s="1"/>
  <c r="E71" i="54" s="1"/>
  <c r="F75" i="54"/>
  <c r="E75" i="54"/>
  <c r="J12" i="51"/>
  <c r="E13" i="53"/>
  <c r="E9" i="53" s="1"/>
  <c r="D9" i="53"/>
  <c r="D8" i="56"/>
  <c r="J13" i="54"/>
  <c r="J18" i="54"/>
  <c r="E69" i="54"/>
  <c r="F64" i="54"/>
  <c r="E64" i="54"/>
  <c r="AH66" i="49"/>
  <c r="C50" i="43"/>
  <c r="C32" i="43"/>
  <c r="I256" i="33"/>
  <c r="O19" i="54"/>
  <c r="O13" i="54" s="1"/>
  <c r="O9" i="54" s="1"/>
  <c r="O8" i="54" s="1"/>
  <c r="I8" i="56"/>
  <c r="E62" i="54"/>
  <c r="G8" i="56"/>
  <c r="J9" i="54"/>
  <c r="J8" i="54"/>
  <c r="J12" i="54"/>
  <c r="L10" i="43" l="1"/>
  <c r="L6" i="43" s="1"/>
  <c r="L88" i="43" s="1"/>
  <c r="L7" i="43"/>
  <c r="H10" i="43"/>
  <c r="H7" i="43"/>
  <c r="D10" i="43"/>
  <c r="K7" i="43"/>
  <c r="G7" i="43"/>
  <c r="N7" i="43"/>
  <c r="J7" i="43"/>
  <c r="F7" i="43"/>
  <c r="M7" i="43"/>
  <c r="I7" i="43"/>
  <c r="E7" i="43"/>
  <c r="K99" i="33"/>
  <c r="I371" i="33"/>
  <c r="K10" i="43"/>
  <c r="K6" i="43" s="1"/>
  <c r="K88" i="43" s="1"/>
  <c r="N10" i="43"/>
  <c r="J10" i="43"/>
  <c r="F10" i="43"/>
  <c r="F6" i="43" s="1"/>
  <c r="M10" i="43"/>
  <c r="M6" i="43" s="1"/>
  <c r="M88" i="43" s="1"/>
  <c r="I10" i="43"/>
  <c r="E10" i="43"/>
  <c r="E6" i="43" s="1"/>
  <c r="E88" i="43" s="1"/>
  <c r="E231" i="33"/>
  <c r="J231" i="33"/>
  <c r="J217" i="33" s="1"/>
  <c r="I6" i="43"/>
  <c r="I88" i="43" s="1"/>
  <c r="D7" i="43"/>
  <c r="D6" i="43"/>
  <c r="D88" i="43" s="1"/>
  <c r="N6" i="43"/>
  <c r="N88" i="43" s="1"/>
  <c r="D244" i="33"/>
  <c r="D256" i="33"/>
  <c r="D259" i="33"/>
  <c r="D268" i="33"/>
  <c r="D235" i="33"/>
  <c r="D286" i="33"/>
  <c r="D277" i="33"/>
  <c r="D289" i="33"/>
  <c r="D265" i="33"/>
  <c r="D9" i="34"/>
  <c r="I45" i="49"/>
  <c r="I44" i="49" s="1"/>
  <c r="E39" i="49"/>
  <c r="Q11" i="49"/>
  <c r="Q12" i="49" s="1"/>
  <c r="C60" i="43"/>
  <c r="F28" i="34" s="1"/>
  <c r="C55" i="43"/>
  <c r="D355" i="33"/>
  <c r="K376" i="33"/>
  <c r="K387" i="33"/>
  <c r="K174" i="33"/>
  <c r="K75" i="33"/>
  <c r="K356" i="33"/>
  <c r="K207" i="33"/>
  <c r="K337" i="33"/>
  <c r="K314" i="33"/>
  <c r="K313" i="33" s="1"/>
  <c r="K37" i="33"/>
  <c r="K201" i="33"/>
  <c r="K91" i="33"/>
  <c r="K82" i="33"/>
  <c r="K51" i="33"/>
  <c r="K56" i="33"/>
  <c r="K197" i="33"/>
  <c r="L348" i="33"/>
  <c r="L347" i="33" s="1"/>
  <c r="F26" i="34"/>
  <c r="I20" i="49"/>
  <c r="I19" i="49" s="1"/>
  <c r="D11" i="49"/>
  <c r="D12" i="49" s="1"/>
  <c r="J382" i="33"/>
  <c r="J371" i="33" s="1"/>
  <c r="J12" i="33"/>
  <c r="I196" i="33"/>
  <c r="J196" i="33"/>
  <c r="L188" i="33"/>
  <c r="L30" i="33"/>
  <c r="L206" i="33"/>
  <c r="L297" i="33"/>
  <c r="K245" i="33"/>
  <c r="K244" i="33" s="1"/>
  <c r="L361" i="33"/>
  <c r="L413" i="33"/>
  <c r="I91" i="33"/>
  <c r="K152" i="33"/>
  <c r="K151" i="33" s="1"/>
  <c r="I151" i="33"/>
  <c r="L386" i="33"/>
  <c r="L385" i="33" s="1"/>
  <c r="L170" i="33"/>
  <c r="L94" i="33"/>
  <c r="L103" i="33"/>
  <c r="L74" i="33"/>
  <c r="L45" i="33"/>
  <c r="L341" i="33"/>
  <c r="L257" i="33"/>
  <c r="L81" i="33"/>
  <c r="I314" i="33"/>
  <c r="I313" i="33" s="1"/>
  <c r="K383" i="33"/>
  <c r="K382" i="33" s="1"/>
  <c r="L177" i="33"/>
  <c r="L160" i="33"/>
  <c r="L157" i="33"/>
  <c r="L186" i="33"/>
  <c r="K239" i="33"/>
  <c r="L239" i="33" s="1"/>
  <c r="I356" i="33"/>
  <c r="L291" i="33"/>
  <c r="K290" i="33"/>
  <c r="K289" i="33" s="1"/>
  <c r="L315" i="33"/>
  <c r="L360" i="33"/>
  <c r="L335" i="33"/>
  <c r="L331" i="33"/>
  <c r="L326" i="33"/>
  <c r="L136" i="33"/>
  <c r="L107" i="33"/>
  <c r="L104" i="33"/>
  <c r="L95" i="33"/>
  <c r="K256" i="33"/>
  <c r="L279" i="33"/>
  <c r="L204" i="33"/>
  <c r="L158" i="33"/>
  <c r="I274" i="33"/>
  <c r="D274" i="33" s="1"/>
  <c r="L411" i="33"/>
  <c r="L258" i="33"/>
  <c r="K69" i="33"/>
  <c r="L412" i="33"/>
  <c r="L154" i="33"/>
  <c r="L100" i="33"/>
  <c r="L169" i="33"/>
  <c r="L146" i="33"/>
  <c r="L234" i="33"/>
  <c r="L108" i="33"/>
  <c r="L88" i="33"/>
  <c r="L19" i="33"/>
  <c r="L18" i="33"/>
  <c r="E31" i="34"/>
  <c r="D31" i="34" s="1"/>
  <c r="L49" i="33"/>
  <c r="C40" i="43"/>
  <c r="C36" i="43"/>
  <c r="C56" i="43"/>
  <c r="F16" i="34" s="1"/>
  <c r="F15" i="34" s="1"/>
  <c r="C9" i="57"/>
  <c r="H9" i="41"/>
  <c r="I15" i="41"/>
  <c r="I14" i="41" s="1"/>
  <c r="K182" i="33"/>
  <c r="K181" i="33" s="1"/>
  <c r="K248" i="33"/>
  <c r="K247" i="33" s="1"/>
  <c r="K117" i="33"/>
  <c r="K116" i="33" s="1"/>
  <c r="L329" i="33"/>
  <c r="L121" i="33"/>
  <c r="I238" i="33"/>
  <c r="D238" i="33" s="1"/>
  <c r="L185" i="33"/>
  <c r="L87" i="33"/>
  <c r="L71" i="33"/>
  <c r="L316" i="33"/>
  <c r="K275" i="33"/>
  <c r="K274" i="33" s="1"/>
  <c r="K298" i="33"/>
  <c r="K287" i="33"/>
  <c r="K286" i="33" s="1"/>
  <c r="K284" i="33"/>
  <c r="K283" i="33" s="1"/>
  <c r="L166" i="33"/>
  <c r="L276" i="33"/>
  <c r="L288" i="33"/>
  <c r="L300" i="33"/>
  <c r="L243" i="33"/>
  <c r="I247" i="33"/>
  <c r="D247" i="33" s="1"/>
  <c r="K278" i="33"/>
  <c r="K277" i="33" s="1"/>
  <c r="K236" i="33"/>
  <c r="K235" i="33" s="1"/>
  <c r="L359" i="33"/>
  <c r="L317" i="33"/>
  <c r="L210" i="33"/>
  <c r="L306" i="33"/>
  <c r="L205" i="33"/>
  <c r="K334" i="33"/>
  <c r="L34" i="33"/>
  <c r="K233" i="33"/>
  <c r="K232" i="33" s="1"/>
  <c r="L156" i="33"/>
  <c r="L119" i="33"/>
  <c r="L41" i="33"/>
  <c r="L32" i="33"/>
  <c r="L273" i="33"/>
  <c r="L393" i="33"/>
  <c r="L133" i="33"/>
  <c r="I232" i="33"/>
  <c r="I82" i="33"/>
  <c r="E30" i="34"/>
  <c r="D30" i="34" s="1"/>
  <c r="I283" i="33"/>
  <c r="D283" i="33" s="1"/>
  <c r="I56" i="33"/>
  <c r="L390" i="33"/>
  <c r="L73" i="33"/>
  <c r="L60" i="33"/>
  <c r="L255" i="33"/>
  <c r="L365" i="33"/>
  <c r="L364" i="33" s="1"/>
  <c r="K125" i="33"/>
  <c r="K122" i="33" s="1"/>
  <c r="L85" i="33"/>
  <c r="L402" i="33"/>
  <c r="L401" i="33" s="1"/>
  <c r="L368" i="33"/>
  <c r="L20" i="33"/>
  <c r="L252" i="33"/>
  <c r="I241" i="33"/>
  <c r="K242" i="33"/>
  <c r="K241" i="33" s="1"/>
  <c r="K251" i="33"/>
  <c r="K250" i="33" s="1"/>
  <c r="I250" i="33"/>
  <c r="D250" i="33" s="1"/>
  <c r="K260" i="33"/>
  <c r="K259" i="33" s="1"/>
  <c r="L208" i="33"/>
  <c r="L264" i="33"/>
  <c r="L270" i="33"/>
  <c r="E29" i="34"/>
  <c r="D29" i="34" s="1"/>
  <c r="K323" i="33"/>
  <c r="K322" i="33" s="1"/>
  <c r="K321" i="33" s="1"/>
  <c r="K13" i="33"/>
  <c r="K12" i="33" s="1"/>
  <c r="L377" i="33"/>
  <c r="K409" i="33"/>
  <c r="K403" i="33" s="1"/>
  <c r="L410" i="33"/>
  <c r="L339" i="33"/>
  <c r="L200" i="33"/>
  <c r="K262" i="33"/>
  <c r="L299" i="33"/>
  <c r="I298" i="33"/>
  <c r="D298" i="33" s="1"/>
  <c r="K280" i="33"/>
  <c r="L263" i="33"/>
  <c r="I262" i="33"/>
  <c r="D262" i="33" s="1"/>
  <c r="K47" i="33"/>
  <c r="K46" i="33" s="1"/>
  <c r="L44" i="33"/>
  <c r="L132" i="33"/>
  <c r="L59" i="33"/>
  <c r="K191" i="33"/>
  <c r="K190" i="33" s="1"/>
  <c r="I337" i="33"/>
  <c r="I253" i="33"/>
  <c r="D253" i="33" s="1"/>
  <c r="J343" i="33"/>
  <c r="J342" i="33" s="1"/>
  <c r="L195" i="33"/>
  <c r="L179" i="33"/>
  <c r="L102" i="33"/>
  <c r="L80" i="33"/>
  <c r="L65" i="33"/>
  <c r="L55" i="33"/>
  <c r="L249" i="33"/>
  <c r="L42" i="33"/>
  <c r="L202" i="33"/>
  <c r="L254" i="33"/>
  <c r="I37" i="33"/>
  <c r="L389" i="33"/>
  <c r="L327" i="33"/>
  <c r="L324" i="33"/>
  <c r="L209" i="33"/>
  <c r="L193" i="33"/>
  <c r="L187" i="33"/>
  <c r="L178" i="33"/>
  <c r="J150" i="33"/>
  <c r="L155" i="33"/>
  <c r="L109" i="33"/>
  <c r="L98" i="33"/>
  <c r="L79" i="33"/>
  <c r="L67" i="33"/>
  <c r="L54" i="33"/>
  <c r="L294" i="33"/>
  <c r="L261" i="33"/>
  <c r="L240" i="33"/>
  <c r="K253" i="33"/>
  <c r="D10" i="57"/>
  <c r="D9" i="57" s="1"/>
  <c r="F13" i="49"/>
  <c r="N11" i="49"/>
  <c r="N12" i="49" s="1"/>
  <c r="G45" i="49"/>
  <c r="G44" i="49" s="1"/>
  <c r="AE11" i="49"/>
  <c r="AE12" i="49" s="1"/>
  <c r="I23" i="49"/>
  <c r="F23" i="49" s="1"/>
  <c r="W11" i="49"/>
  <c r="W12" i="49" s="1"/>
  <c r="I29" i="49"/>
  <c r="F29" i="49" s="1"/>
  <c r="J31" i="49"/>
  <c r="J45" i="49"/>
  <c r="J44" i="49" s="1"/>
  <c r="P11" i="49"/>
  <c r="P12" i="49" s="1"/>
  <c r="H31" i="49"/>
  <c r="L19" i="49"/>
  <c r="L17" i="49" s="1"/>
  <c r="H28" i="49"/>
  <c r="F28" i="49" s="1"/>
  <c r="F27" i="49"/>
  <c r="H20" i="49"/>
  <c r="C17" i="41"/>
  <c r="B17" i="41" s="1"/>
  <c r="AH11" i="49"/>
  <c r="AH12" i="49" s="1"/>
  <c r="F30" i="49"/>
  <c r="I280" i="33"/>
  <c r="D280" i="33" s="1"/>
  <c r="Q18" i="54"/>
  <c r="O11" i="49"/>
  <c r="O12" i="49" s="1"/>
  <c r="X11" i="49"/>
  <c r="X12" i="49" s="1"/>
  <c r="I18" i="54"/>
  <c r="I13" i="54"/>
  <c r="E56" i="33"/>
  <c r="I68" i="33"/>
  <c r="L372" i="33"/>
  <c r="C38" i="43"/>
  <c r="C28" i="43"/>
  <c r="E23" i="34"/>
  <c r="D23" i="34" s="1"/>
  <c r="L336" i="33"/>
  <c r="L281" i="33"/>
  <c r="K269" i="33"/>
  <c r="K268" i="33" s="1"/>
  <c r="K44" i="49"/>
  <c r="E49" i="49"/>
  <c r="E13" i="49"/>
  <c r="Z11" i="49"/>
  <c r="Z12" i="49" s="1"/>
  <c r="L212" i="33"/>
  <c r="L211" i="33" s="1"/>
  <c r="L198" i="33"/>
  <c r="C11" i="49"/>
  <c r="C10" i="49" s="1"/>
  <c r="F49" i="49"/>
  <c r="F45" i="49" s="1"/>
  <c r="F44" i="49" s="1"/>
  <c r="AF11" i="49"/>
  <c r="AF12" i="49" s="1"/>
  <c r="L400" i="33"/>
  <c r="L399" i="33" s="1"/>
  <c r="L397" i="33" s="1"/>
  <c r="K293" i="33"/>
  <c r="I292" i="33"/>
  <c r="D292" i="33" s="1"/>
  <c r="K266" i="33"/>
  <c r="L26" i="33"/>
  <c r="E32" i="54"/>
  <c r="F34" i="54"/>
  <c r="P19" i="54"/>
  <c r="M7" i="54"/>
  <c r="L237" i="33"/>
  <c r="K296" i="33"/>
  <c r="K295" i="33" s="1"/>
  <c r="C10" i="33"/>
  <c r="H13" i="54"/>
  <c r="H9" i="54" s="1"/>
  <c r="H8" i="54" s="1"/>
  <c r="C24" i="43"/>
  <c r="L343" i="33"/>
  <c r="L285" i="33"/>
  <c r="N8" i="54"/>
  <c r="L7" i="54"/>
  <c r="L199" i="33"/>
  <c r="L40" i="33"/>
  <c r="L161" i="33"/>
  <c r="L78" i="33"/>
  <c r="L340" i="33"/>
  <c r="J356" i="33"/>
  <c r="L330" i="33"/>
  <c r="L319" i="33"/>
  <c r="L130" i="33"/>
  <c r="L115" i="33"/>
  <c r="L89" i="33"/>
  <c r="L66" i="33"/>
  <c r="L64" i="33"/>
  <c r="G19" i="54"/>
  <c r="F17" i="54"/>
  <c r="E17" i="54" s="1"/>
  <c r="E11" i="54" s="1"/>
  <c r="D7" i="54"/>
  <c r="O8" i="56"/>
  <c r="K8" i="56"/>
  <c r="L282" i="33"/>
  <c r="L267" i="33"/>
  <c r="L246" i="33"/>
  <c r="E33" i="34"/>
  <c r="L33" i="33"/>
  <c r="L90" i="33"/>
  <c r="L86" i="33"/>
  <c r="L106" i="33"/>
  <c r="L159" i="33"/>
  <c r="L184" i="33"/>
  <c r="A3" i="43"/>
  <c r="A3" i="33"/>
  <c r="N66" i="49"/>
  <c r="M66" i="49"/>
  <c r="U11" i="49"/>
  <c r="U12" i="49" s="1"/>
  <c r="L105" i="33"/>
  <c r="M18" i="54"/>
  <c r="M13" i="54"/>
  <c r="M9" i="54" s="1"/>
  <c r="M8" i="54" s="1"/>
  <c r="X66" i="49"/>
  <c r="W66" i="49"/>
  <c r="L72" i="33"/>
  <c r="Q40" i="54"/>
  <c r="Q7" i="54" s="1"/>
  <c r="F47" i="54"/>
  <c r="P13" i="54"/>
  <c r="P9" i="54" s="1"/>
  <c r="P8" i="54" s="1"/>
  <c r="P18" i="54"/>
  <c r="K272" i="33"/>
  <c r="K271" i="33" s="1"/>
  <c r="I271" i="33"/>
  <c r="D271" i="33" s="1"/>
  <c r="K33" i="49"/>
  <c r="M11" i="49"/>
  <c r="S11" i="49"/>
  <c r="S12" i="49" s="1"/>
  <c r="O18" i="54"/>
  <c r="K18" i="54"/>
  <c r="K13" i="54"/>
  <c r="H10" i="54"/>
  <c r="E26" i="54"/>
  <c r="E28" i="54" s="1"/>
  <c r="E34" i="54"/>
  <c r="AC66" i="49"/>
  <c r="AD66" i="49"/>
  <c r="L33" i="49"/>
  <c r="J33" i="49" s="1"/>
  <c r="F33" i="49" s="1"/>
  <c r="Y11" i="49"/>
  <c r="Y12" i="49" s="1"/>
  <c r="I13" i="41"/>
  <c r="K164" i="33"/>
  <c r="K163" i="33" s="1"/>
  <c r="F56" i="54"/>
  <c r="L378" i="33"/>
  <c r="J13" i="51"/>
  <c r="F55" i="49"/>
  <c r="F42" i="49"/>
  <c r="F39" i="49" s="1"/>
  <c r="E21" i="53"/>
  <c r="AG11" i="49"/>
  <c r="H9" i="43"/>
  <c r="H8" i="43" s="1"/>
  <c r="AA11" i="49"/>
  <c r="AA12" i="49" s="1"/>
  <c r="H24" i="49"/>
  <c r="I24" i="49"/>
  <c r="AC11" i="49"/>
  <c r="AC12" i="49" s="1"/>
  <c r="K62" i="33"/>
  <c r="K61" i="33" s="1"/>
  <c r="I61" i="33"/>
  <c r="L384" i="33"/>
  <c r="I295" i="33"/>
  <c r="D295" i="33" s="1"/>
  <c r="L126" i="33"/>
  <c r="R11" i="49"/>
  <c r="R12" i="49" s="1"/>
  <c r="F18" i="49"/>
  <c r="AB11" i="49"/>
  <c r="AB12" i="49" s="1"/>
  <c r="T11" i="49"/>
  <c r="T12" i="49" s="1"/>
  <c r="Q8" i="56"/>
  <c r="K24" i="33"/>
  <c r="K23" i="33" s="1"/>
  <c r="AD11" i="49"/>
  <c r="AD12" i="49" s="1"/>
  <c r="V11" i="49"/>
  <c r="V12" i="49" s="1"/>
  <c r="K113" i="33"/>
  <c r="K112" i="33" s="1"/>
  <c r="C37" i="43"/>
  <c r="F61" i="54"/>
  <c r="E61" i="54" s="1"/>
  <c r="L12" i="54"/>
  <c r="J17" i="49"/>
  <c r="L325" i="33"/>
  <c r="F16" i="54"/>
  <c r="F58" i="54"/>
  <c r="E58" i="54" s="1"/>
  <c r="L8" i="56"/>
  <c r="E32" i="34"/>
  <c r="D32" i="34" s="1"/>
  <c r="L420" i="33"/>
  <c r="L99" i="33" l="1"/>
  <c r="K371" i="33"/>
  <c r="K355" i="33" s="1"/>
  <c r="F20" i="34"/>
  <c r="L303" i="33"/>
  <c r="L302" i="33" s="1"/>
  <c r="D232" i="33"/>
  <c r="I231" i="33"/>
  <c r="D241" i="33"/>
  <c r="F88" i="43"/>
  <c r="I17" i="49"/>
  <c r="I11" i="49" s="1"/>
  <c r="C8" i="43"/>
  <c r="H6" i="43"/>
  <c r="J11" i="49"/>
  <c r="J12" i="49" s="1"/>
  <c r="K11" i="49"/>
  <c r="K12" i="49" s="1"/>
  <c r="D33" i="34"/>
  <c r="O65" i="49"/>
  <c r="Y65" i="49"/>
  <c r="Y64" i="49" s="1"/>
  <c r="Y10" i="49" s="1"/>
  <c r="M65" i="49"/>
  <c r="U65" i="49"/>
  <c r="U64" i="49" s="1"/>
  <c r="U10" i="49" s="1"/>
  <c r="S65" i="49"/>
  <c r="T65" i="49" s="1"/>
  <c r="AA65" i="49"/>
  <c r="AE65" i="49"/>
  <c r="AF65" i="49" s="1"/>
  <c r="AC65" i="49"/>
  <c r="AD65" i="49" s="1"/>
  <c r="AD64" i="49" s="1"/>
  <c r="AD10" i="49" s="1"/>
  <c r="F25" i="34"/>
  <c r="C7" i="43"/>
  <c r="L376" i="33"/>
  <c r="E217" i="33"/>
  <c r="E216" i="33" s="1"/>
  <c r="F66" i="49"/>
  <c r="F64" i="49" s="1"/>
  <c r="E66" i="49"/>
  <c r="E64" i="49" s="1"/>
  <c r="L69" i="33"/>
  <c r="L68" i="33" s="1"/>
  <c r="K68" i="33"/>
  <c r="K11" i="33" s="1"/>
  <c r="F58" i="49"/>
  <c r="E45" i="49"/>
  <c r="E44" i="49" s="1"/>
  <c r="E11" i="49" s="1"/>
  <c r="L17" i="33"/>
  <c r="J355" i="33"/>
  <c r="E25" i="34"/>
  <c r="J11" i="33"/>
  <c r="J10" i="33" s="1"/>
  <c r="J216" i="33"/>
  <c r="K196" i="33"/>
  <c r="L245" i="33"/>
  <c r="L244" i="33" s="1"/>
  <c r="L242" i="33"/>
  <c r="L241" i="33" s="1"/>
  <c r="L256" i="33"/>
  <c r="L383" i="33"/>
  <c r="L382" i="33" s="1"/>
  <c r="L152" i="33"/>
  <c r="L151" i="33" s="1"/>
  <c r="D26" i="34"/>
  <c r="D27" i="34"/>
  <c r="K238" i="33"/>
  <c r="L233" i="33"/>
  <c r="L232" i="33" s="1"/>
  <c r="L334" i="33"/>
  <c r="L290" i="33"/>
  <c r="L289" i="33" s="1"/>
  <c r="L280" i="33"/>
  <c r="L238" i="33"/>
  <c r="L248" i="33"/>
  <c r="L247" i="33" s="1"/>
  <c r="L284" i="33"/>
  <c r="L283" i="33" s="1"/>
  <c r="L253" i="33"/>
  <c r="L287" i="33"/>
  <c r="L286" i="33" s="1"/>
  <c r="L278" i="33"/>
  <c r="L277" i="33" s="1"/>
  <c r="L57" i="33"/>
  <c r="L56" i="33" s="1"/>
  <c r="I150" i="33"/>
  <c r="L201" i="33"/>
  <c r="I355" i="33"/>
  <c r="L117" i="33"/>
  <c r="L116" i="33" s="1"/>
  <c r="L314" i="33"/>
  <c r="L313" i="33" s="1"/>
  <c r="L275" i="33"/>
  <c r="L274" i="33" s="1"/>
  <c r="L409" i="33"/>
  <c r="L403" i="33" s="1"/>
  <c r="L262" i="33"/>
  <c r="L323" i="33"/>
  <c r="L322" i="33" s="1"/>
  <c r="L321" i="33" s="1"/>
  <c r="L15" i="33"/>
  <c r="L83" i="33"/>
  <c r="L82" i="33" s="1"/>
  <c r="J6" i="43"/>
  <c r="J88" i="43" s="1"/>
  <c r="H15" i="41"/>
  <c r="G15" i="41" s="1"/>
  <c r="G14" i="41" s="1"/>
  <c r="F33" i="34"/>
  <c r="L182" i="33"/>
  <c r="L181" i="33" s="1"/>
  <c r="E21" i="34"/>
  <c r="D21" i="34" s="1"/>
  <c r="L298" i="33"/>
  <c r="L13" i="33"/>
  <c r="L125" i="33"/>
  <c r="L269" i="33"/>
  <c r="L268" i="33" s="1"/>
  <c r="L260" i="33"/>
  <c r="L259" i="33" s="1"/>
  <c r="L236" i="33"/>
  <c r="L235" i="33" s="1"/>
  <c r="E11" i="33"/>
  <c r="E10" i="33" s="1"/>
  <c r="L52" i="33"/>
  <c r="L51" i="33" s="1"/>
  <c r="L338" i="33"/>
  <c r="L337" i="33" s="1"/>
  <c r="E24" i="34"/>
  <c r="D24" i="34" s="1"/>
  <c r="L76" i="33"/>
  <c r="L75" i="33" s="1"/>
  <c r="L296" i="33"/>
  <c r="L295" i="33" s="1"/>
  <c r="L38" i="33"/>
  <c r="L37" i="33" s="1"/>
  <c r="L207" i="33"/>
  <c r="L251" i="33"/>
  <c r="L250" i="33" s="1"/>
  <c r="D10" i="49"/>
  <c r="F20" i="49"/>
  <c r="H19" i="49"/>
  <c r="F19" i="49" s="1"/>
  <c r="K265" i="33"/>
  <c r="L266" i="33"/>
  <c r="L265" i="33" s="1"/>
  <c r="L92" i="33"/>
  <c r="K150" i="33"/>
  <c r="F11" i="54"/>
  <c r="H12" i="54"/>
  <c r="G18" i="54"/>
  <c r="F19" i="54"/>
  <c r="G13" i="54"/>
  <c r="L47" i="33"/>
  <c r="L46" i="33" s="1"/>
  <c r="K292" i="33"/>
  <c r="L293" i="33"/>
  <c r="L292" i="33" s="1"/>
  <c r="C12" i="49"/>
  <c r="E12" i="49" s="1"/>
  <c r="L197" i="33"/>
  <c r="I12" i="54"/>
  <c r="I9" i="54"/>
  <c r="I8" i="54" s="1"/>
  <c r="I11" i="33"/>
  <c r="L358" i="33"/>
  <c r="L357" i="33" s="1"/>
  <c r="H7" i="54"/>
  <c r="F10" i="54"/>
  <c r="E47" i="54"/>
  <c r="F40" i="54"/>
  <c r="E40" i="54" s="1"/>
  <c r="L388" i="33"/>
  <c r="L387" i="33" s="1"/>
  <c r="L164" i="33"/>
  <c r="L163" i="33" s="1"/>
  <c r="F24" i="49"/>
  <c r="L175" i="33"/>
  <c r="L174" i="33" s="1"/>
  <c r="L191" i="33"/>
  <c r="L190" i="33" s="1"/>
  <c r="L62" i="33"/>
  <c r="L11" i="49"/>
  <c r="K9" i="54"/>
  <c r="K12" i="54"/>
  <c r="M12" i="49"/>
  <c r="E16" i="54"/>
  <c r="F13" i="54"/>
  <c r="E13" i="54" s="1"/>
  <c r="C9" i="43"/>
  <c r="L113" i="33"/>
  <c r="L112" i="33" s="1"/>
  <c r="L24" i="33"/>
  <c r="L23" i="33" s="1"/>
  <c r="AG12" i="49"/>
  <c r="F51" i="54"/>
  <c r="E56" i="54"/>
  <c r="E51" i="54" s="1"/>
  <c r="L272" i="33"/>
  <c r="L271" i="33" s="1"/>
  <c r="K68" i="49"/>
  <c r="T66" i="49"/>
  <c r="H13" i="41"/>
  <c r="G13" i="41" s="1"/>
  <c r="L371" i="33" l="1"/>
  <c r="I10" i="33"/>
  <c r="D231" i="33"/>
  <c r="K231" i="33"/>
  <c r="K217" i="33" s="1"/>
  <c r="K10" i="33"/>
  <c r="L231" i="33"/>
  <c r="L217" i="33" s="1"/>
  <c r="J68" i="49"/>
  <c r="I68" i="49" s="1"/>
  <c r="H88" i="43"/>
  <c r="G6" i="43"/>
  <c r="G88" i="43" s="1"/>
  <c r="G11" i="49"/>
  <c r="C6" i="43"/>
  <c r="L12" i="33"/>
  <c r="J9" i="33"/>
  <c r="F19" i="34"/>
  <c r="W65" i="49"/>
  <c r="X65" i="49" s="1"/>
  <c r="X64" i="49" s="1"/>
  <c r="X10" i="49" s="1"/>
  <c r="Q65" i="49"/>
  <c r="Q64" i="49" s="1"/>
  <c r="Q10" i="49" s="1"/>
  <c r="D25" i="34"/>
  <c r="E10" i="49"/>
  <c r="I217" i="33"/>
  <c r="I216" i="33" s="1"/>
  <c r="D11" i="33"/>
  <c r="D10" i="33" s="1"/>
  <c r="AF64" i="49"/>
  <c r="AF10" i="49" s="1"/>
  <c r="L12" i="49"/>
  <c r="I12" i="49"/>
  <c r="E17" i="34"/>
  <c r="Z65" i="49"/>
  <c r="Z64" i="49" s="1"/>
  <c r="Z10" i="49" s="1"/>
  <c r="AE64" i="49"/>
  <c r="AE10" i="49" s="1"/>
  <c r="L196" i="33"/>
  <c r="V65" i="49"/>
  <c r="V64" i="49" s="1"/>
  <c r="V10" i="49" s="1"/>
  <c r="H14" i="41"/>
  <c r="E28" i="34"/>
  <c r="D28" i="34" s="1"/>
  <c r="S64" i="49"/>
  <c r="S10" i="49" s="1"/>
  <c r="AC64" i="49"/>
  <c r="AC10" i="49" s="1"/>
  <c r="E10" i="41"/>
  <c r="H17" i="49"/>
  <c r="H11" i="49" s="1"/>
  <c r="H12" i="49" s="1"/>
  <c r="D10" i="41"/>
  <c r="L356" i="33"/>
  <c r="G12" i="54"/>
  <c r="G9" i="54"/>
  <c r="G8" i="54" s="1"/>
  <c r="L91" i="33"/>
  <c r="L61" i="33"/>
  <c r="L150" i="33"/>
  <c r="E19" i="54"/>
  <c r="E18" i="54" s="1"/>
  <c r="F18" i="54"/>
  <c r="AB65" i="49"/>
  <c r="AB64" i="49" s="1"/>
  <c r="AB10" i="49" s="1"/>
  <c r="AA64" i="49"/>
  <c r="AA10" i="49" s="1"/>
  <c r="K8" i="54"/>
  <c r="F9" i="54"/>
  <c r="E9" i="54" s="1"/>
  <c r="O64" i="49"/>
  <c r="O10" i="49" s="1"/>
  <c r="P65" i="49"/>
  <c r="P64" i="49" s="1"/>
  <c r="P10" i="49" s="1"/>
  <c r="F7" i="54"/>
  <c r="E10" i="54"/>
  <c r="E7" i="54" s="1"/>
  <c r="T64" i="49"/>
  <c r="T10" i="49" s="1"/>
  <c r="L66" i="49"/>
  <c r="K66" i="49"/>
  <c r="D217" i="33" l="1"/>
  <c r="D216" i="33" s="1"/>
  <c r="J66" i="49"/>
  <c r="C88" i="43"/>
  <c r="F14" i="34"/>
  <c r="F8" i="34" s="1"/>
  <c r="F7" i="34" s="1"/>
  <c r="AG65" i="49"/>
  <c r="G12" i="49"/>
  <c r="G10" i="49"/>
  <c r="L11" i="33"/>
  <c r="D17" i="34"/>
  <c r="C10" i="41"/>
  <c r="K216" i="33"/>
  <c r="K9" i="33" s="1"/>
  <c r="L216" i="33"/>
  <c r="L355" i="33"/>
  <c r="R65" i="49"/>
  <c r="W64" i="49"/>
  <c r="W10" i="49" s="1"/>
  <c r="H10" i="49"/>
  <c r="F17" i="49"/>
  <c r="F11" i="49" s="1"/>
  <c r="F10" i="49" s="1"/>
  <c r="F8" i="54"/>
  <c r="E8" i="54" s="1"/>
  <c r="N65" i="49"/>
  <c r="N64" i="49" s="1"/>
  <c r="N10" i="49" s="1"/>
  <c r="M64" i="49"/>
  <c r="M10" i="49" s="1"/>
  <c r="E16" i="41"/>
  <c r="E15" i="41" s="1"/>
  <c r="E16" i="34" l="1"/>
  <c r="E15" i="34" s="1"/>
  <c r="D9" i="33"/>
  <c r="B10" i="41"/>
  <c r="I12" i="41"/>
  <c r="I8" i="41" s="1"/>
  <c r="I22" i="41" s="1"/>
  <c r="AG64" i="49"/>
  <c r="AG10" i="49" s="1"/>
  <c r="AH65" i="49"/>
  <c r="AH64" i="49" s="1"/>
  <c r="AH10" i="49" s="1"/>
  <c r="R64" i="49"/>
  <c r="R10" i="49" s="1"/>
  <c r="F12" i="49"/>
  <c r="D16" i="41"/>
  <c r="I66" i="49"/>
  <c r="D16" i="34" l="1"/>
  <c r="D15" i="34" s="1"/>
  <c r="L65" i="49"/>
  <c r="K65" i="49" s="1"/>
  <c r="J65" i="49" s="1"/>
  <c r="I65" i="49" s="1"/>
  <c r="C14" i="34"/>
  <c r="C8" i="34" s="1"/>
  <c r="D15" i="41"/>
  <c r="C16" i="41"/>
  <c r="L64" i="49" l="1"/>
  <c r="L10" i="49" s="1"/>
  <c r="K64" i="49"/>
  <c r="K10" i="49" s="1"/>
  <c r="C15" i="41"/>
  <c r="B16" i="41"/>
  <c r="B15" i="41" s="1"/>
  <c r="E11" i="41"/>
  <c r="E9" i="41" s="1"/>
  <c r="E8" i="41" s="1"/>
  <c r="E22" i="41" s="1"/>
  <c r="J64" i="49"/>
  <c r="J10" i="49" s="1"/>
  <c r="D11" i="41" l="1"/>
  <c r="I64" i="49"/>
  <c r="I10" i="49" s="1"/>
  <c r="C11" i="41" l="1"/>
  <c r="C9" i="41" s="1"/>
  <c r="D9" i="41"/>
  <c r="D8" i="41" s="1"/>
  <c r="D22" i="41" s="1"/>
  <c r="B11" i="41" l="1"/>
  <c r="B9" i="41" s="1"/>
  <c r="B8" i="41" s="1"/>
  <c r="B22" i="41" s="1"/>
  <c r="C8" i="41" l="1"/>
  <c r="C22" i="41" s="1"/>
  <c r="L123" i="33" l="1"/>
  <c r="L122" i="33" s="1"/>
  <c r="E20" i="34" l="1"/>
  <c r="L213" i="33"/>
  <c r="L10" i="33" s="1"/>
  <c r="D20" i="34" l="1"/>
  <c r="F342" i="33"/>
  <c r="E342" i="33"/>
  <c r="E9" i="33" s="1"/>
  <c r="I342" i="33"/>
  <c r="I9" i="33" s="1"/>
  <c r="E22" i="34" l="1"/>
  <c r="L346" i="33"/>
  <c r="L342" i="33" l="1"/>
  <c r="L9" i="33" s="1"/>
  <c r="E19" i="34"/>
  <c r="E14" i="34" s="1"/>
  <c r="D22" i="34"/>
  <c r="D19" i="34" s="1"/>
  <c r="H12" i="41" l="1"/>
  <c r="E8" i="34"/>
  <c r="E7" i="34" s="1"/>
  <c r="D14" i="34"/>
  <c r="D8" i="34" l="1"/>
  <c r="H8" i="41"/>
  <c r="H22" i="41" s="1"/>
  <c r="G12" i="41"/>
  <c r="G8" i="41" s="1"/>
  <c r="G22" i="41" s="1"/>
  <c r="D7" i="34" l="1"/>
  <c r="C7" i="34" l="1"/>
  <c r="F23" i="33"/>
  <c r="F11" i="33" s="1"/>
  <c r="H23" i="33"/>
  <c r="H11" i="33" s="1"/>
  <c r="H10" i="33" s="1"/>
  <c r="G23" i="33"/>
  <c r="G11" i="33" s="1"/>
  <c r="G10" i="33" s="1"/>
  <c r="F10" i="33" l="1"/>
  <c r="H9" i="33"/>
  <c r="G9" i="33"/>
  <c r="F9"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15" authorId="0" shapeId="0" xr:uid="{00000000-0006-0000-0200-000001000000}">
      <text>
        <r>
          <rPr>
            <b/>
            <sz val="9"/>
            <color indexed="81"/>
            <rFont val="Tahoma"/>
            <family val="2"/>
          </rPr>
          <t>Admin:</t>
        </r>
        <r>
          <rPr>
            <sz val="9"/>
            <color indexed="81"/>
            <rFont val="Tahoma"/>
            <family val="2"/>
          </rPr>
          <t xml:space="preserve">
không tính lẻ, xem lại tỉnh giao như thế nào để giảm đi hoặc tăng lên để đảm bảo bằng số thu huyện hưởng tỉnh giao</t>
        </r>
      </text>
    </comment>
  </commentList>
</comments>
</file>

<file path=xl/sharedStrings.xml><?xml version="1.0" encoding="utf-8"?>
<sst xmlns="http://schemas.openxmlformats.org/spreadsheetml/2006/main" count="1810" uniqueCount="897">
  <si>
    <t>Chi bộ máy giáo dục</t>
  </si>
  <si>
    <t>NSTW</t>
  </si>
  <si>
    <t>1.3</t>
  </si>
  <si>
    <t xml:space="preserve">                 Thuế tài nguyên khác</t>
  </si>
  <si>
    <t>Từ thủy điện</t>
  </si>
  <si>
    <t xml:space="preserve">                  Lệ phí Trước bạ TS khác</t>
  </si>
  <si>
    <t>Thu phạt vi phạm  ATGT do cơ quan TW thực hiện</t>
  </si>
  <si>
    <t>Thuế BVMT</t>
  </si>
  <si>
    <t>Thu cấp quyền KTTN nước</t>
  </si>
  <si>
    <t>Thu cổ tức, lợi nhuận được chia và lợi nhuận</t>
  </si>
  <si>
    <t>Thu xổ số kiến thiết</t>
  </si>
  <si>
    <t>Thu Bổ sung từ ngân sách cấp trên</t>
  </si>
  <si>
    <t>Thu Bổ sung cân đối</t>
  </si>
  <si>
    <t>Thu Bổ sung có mục tiêu</t>
  </si>
  <si>
    <t>Ghi chú</t>
  </si>
  <si>
    <t>Chi Quốc phòng, trật tự ATXH</t>
  </si>
  <si>
    <t>Chi đảm bảo xã hội</t>
  </si>
  <si>
    <t>L</t>
  </si>
  <si>
    <t>Tổng thu =A+B</t>
  </si>
  <si>
    <t>Ngân sách Trung ương bổ sung</t>
  </si>
  <si>
    <t>Kinh phí thực hiện Cuộc vận động toàn dân xây dựng nông thôn mới</t>
  </si>
  <si>
    <t>Hội đồng nhân dân huyện</t>
  </si>
  <si>
    <t>Giáo dục và Đào tạo</t>
  </si>
  <si>
    <t>Trung tâm dịch vụ nông nghiệp huyện</t>
  </si>
  <si>
    <t>Đăk Tờ Kan</t>
  </si>
  <si>
    <t>Đăk Rơ Ông</t>
  </si>
  <si>
    <t>Đăk Sao</t>
  </si>
  <si>
    <t>Đăk Na</t>
  </si>
  <si>
    <t>Tu Mơ Rông</t>
  </si>
  <si>
    <t>Tê Xăng</t>
  </si>
  <si>
    <t>Măng Ri</t>
  </si>
  <si>
    <t>Văn Xuôi</t>
  </si>
  <si>
    <t>Ngọk Yêu</t>
  </si>
  <si>
    <t>Ngọk Lây</t>
  </si>
  <si>
    <t xml:space="preserve">Trong đó: </t>
  </si>
  <si>
    <t>Lệ phí do cơ quan TW thu</t>
  </si>
  <si>
    <t>Lệ phí do cơ quan địa phương thu</t>
  </si>
  <si>
    <t>Thu phạt vi phạm  ATGT do cơ quan địa phương thực hiện</t>
  </si>
  <si>
    <t>Sự nghiệp Giáo dục và dạy nghề</t>
  </si>
  <si>
    <t>II.1</t>
  </si>
  <si>
    <t>II.3</t>
  </si>
  <si>
    <t>Chi sự nghiệp giáo dục-đào tạo</t>
  </si>
  <si>
    <t>Xã Ngọk Lây</t>
  </si>
  <si>
    <t>Xã Ngọk Yêu</t>
  </si>
  <si>
    <t>DỰ TOÁN THU</t>
  </si>
  <si>
    <t>DỰ TOÁN CHI</t>
  </si>
  <si>
    <t>Nội dung</t>
  </si>
  <si>
    <t>Tổng thu NSNN</t>
  </si>
  <si>
    <t>Tổng</t>
  </si>
  <si>
    <t>NS huyện</t>
  </si>
  <si>
    <t>NS xã</t>
  </si>
  <si>
    <t>Phần A: Tổng thu ngân sách</t>
  </si>
  <si>
    <t>Phần A: Tổng chi ngân sách</t>
  </si>
  <si>
    <t>Trong đó: Bổ sung tiền lương</t>
  </si>
  <si>
    <t>- Chi từ nguồn thu SDĐ để lại</t>
  </si>
  <si>
    <t>Phần B: Thu quản lý qua ngân sách</t>
  </si>
  <si>
    <t>Phần B: Chi quản lý qua ngân sách</t>
  </si>
  <si>
    <t>I. Thu phạt an toàn giao thông</t>
  </si>
  <si>
    <t>II. Thu học phí</t>
  </si>
  <si>
    <t>TỔNG CHI = (Phần A + Phần B)</t>
  </si>
  <si>
    <t>Tỉnh giao</t>
  </si>
  <si>
    <t>Huyện giao</t>
  </si>
  <si>
    <t>Sự nghiệp kinh tế</t>
  </si>
  <si>
    <t>Sự nghiệp TT-TH (Trung tâm VHTTDL&amp;TT)</t>
  </si>
  <si>
    <t>Trung tâm Môi trường và Dịch vụ đô thị huyện Tu Mơ Rông</t>
  </si>
  <si>
    <t>Phòng Kinh tế và Hạ tầng</t>
  </si>
  <si>
    <t>STT</t>
  </si>
  <si>
    <t>Tổng cộng</t>
  </si>
  <si>
    <t>TT</t>
  </si>
  <si>
    <t>01</t>
  </si>
  <si>
    <t>02</t>
  </si>
  <si>
    <t>Phòng NN&amp;PTNT</t>
  </si>
  <si>
    <t>03</t>
  </si>
  <si>
    <t>04</t>
  </si>
  <si>
    <t>Phòng Y Tế</t>
  </si>
  <si>
    <t>05</t>
  </si>
  <si>
    <t>Phòng Nội vụ</t>
  </si>
  <si>
    <t>Phòng VH &amp; TT</t>
  </si>
  <si>
    <t>Phòng Tư Pháp</t>
  </si>
  <si>
    <t>Thanh Tra huyện</t>
  </si>
  <si>
    <t>Phòng Lao động - TB&amp;XH</t>
  </si>
  <si>
    <t>Phòng Tài chính - Kế hoạch</t>
  </si>
  <si>
    <t>Hội LHPN huyện</t>
  </si>
  <si>
    <t>Hội Cựu chiến binh</t>
  </si>
  <si>
    <t>UBND HUYỆN TU MƠ RÔNG</t>
  </si>
  <si>
    <t>A</t>
  </si>
  <si>
    <t>I</t>
  </si>
  <si>
    <t>II</t>
  </si>
  <si>
    <t>III</t>
  </si>
  <si>
    <t>B</t>
  </si>
  <si>
    <t>IV</t>
  </si>
  <si>
    <t>Nội dung chi</t>
  </si>
  <si>
    <t>Dự toán tỉnh giao</t>
  </si>
  <si>
    <t>Dự toán huyện giao</t>
  </si>
  <si>
    <t>Chi NS huyện</t>
  </si>
  <si>
    <t>Trong đó</t>
  </si>
  <si>
    <t>Chi NS xã</t>
  </si>
  <si>
    <t>Chi cân đối ngân sách huyện</t>
  </si>
  <si>
    <t>XDCB Tập trung</t>
  </si>
  <si>
    <t>Chi từ nguồn thu SDĐ để lại:</t>
  </si>
  <si>
    <t>Chi thường xuyên</t>
  </si>
  <si>
    <t>Chi sự nghiệp kinh tế</t>
  </si>
  <si>
    <t>-</t>
  </si>
  <si>
    <t>Sự nghiệp kinh tế khác</t>
  </si>
  <si>
    <t>Chi quản lý hành chính</t>
  </si>
  <si>
    <t>Chi sự nghiệp thể dục - thể thao</t>
  </si>
  <si>
    <t>Chi Quốc phòng</t>
  </si>
  <si>
    <t>Chi an ninh</t>
  </si>
  <si>
    <t xml:space="preserve">Dự phòng ngân sách </t>
  </si>
  <si>
    <t>C</t>
  </si>
  <si>
    <t>II.2</t>
  </si>
  <si>
    <t>D</t>
  </si>
  <si>
    <t>E</t>
  </si>
  <si>
    <t>Đơn vị/Nội dung</t>
  </si>
  <si>
    <t>Quản lý Nhà nước</t>
  </si>
  <si>
    <t>Phòng Giáo dục và Đào tạo</t>
  </si>
  <si>
    <t>Phòng Dân Tộc</t>
  </si>
  <si>
    <t xml:space="preserve">UBMT TQVN huyện </t>
  </si>
  <si>
    <t xml:space="preserve">Huyện Đoàn </t>
  </si>
  <si>
    <t>Hội Thanh niên xung phong</t>
  </si>
  <si>
    <t>Hội Nông dân</t>
  </si>
  <si>
    <t>Hội Chữ thập đỏ</t>
  </si>
  <si>
    <t xml:space="preserve">Kinh phí bảo trợ xã hội </t>
  </si>
  <si>
    <t xml:space="preserve">NỘI DUNG </t>
  </si>
  <si>
    <t>Số thu theo địa bàn từng xã</t>
  </si>
  <si>
    <t>Tổng thu trên địa bàn các xã</t>
  </si>
  <si>
    <t>Xã Đăk Tờ Kan</t>
  </si>
  <si>
    <t>Xã Đăk Rơ Ông</t>
  </si>
  <si>
    <t>Xã Đăk Hà</t>
  </si>
  <si>
    <t>Xã  Tu Mơ Rông</t>
  </si>
  <si>
    <t>Xã  Văn Xuôi</t>
  </si>
  <si>
    <t>Xã Tê Xăng</t>
  </si>
  <si>
    <t>Xã Măng Ri</t>
  </si>
  <si>
    <t>Xã Đăk Sao</t>
  </si>
  <si>
    <t>Xã Đăk Na</t>
  </si>
  <si>
    <t>Cục Thuế thu</t>
  </si>
  <si>
    <t>Chi cục Thuế
 thu</t>
  </si>
  <si>
    <t>NS tỉnh</t>
  </si>
  <si>
    <t>Tổng thu trên 
địa bàn xã</t>
  </si>
  <si>
    <t>NS xã 
hưởng</t>
  </si>
  <si>
    <t>Tổng thu địa bàn</t>
  </si>
  <si>
    <t>Tổng thu trừ tiền SD đất</t>
  </si>
  <si>
    <t>Doanh nghiệp nhà nước</t>
  </si>
  <si>
    <t>1.1</t>
  </si>
  <si>
    <t>Thuế Tài nguyên</t>
  </si>
  <si>
    <t>1.2</t>
  </si>
  <si>
    <t>Thuế GTGT</t>
  </si>
  <si>
    <t>Thu Ngoài quốc doanh</t>
  </si>
  <si>
    <t>2.1</t>
  </si>
  <si>
    <t>Thuế thu nhập doanh nghiệp</t>
  </si>
  <si>
    <t>2.2</t>
  </si>
  <si>
    <t>Thuế tài nguyên</t>
  </si>
  <si>
    <t>Trong đó: Thuế tài nguyên nước</t>
  </si>
  <si>
    <t>2.3</t>
  </si>
  <si>
    <t>Thuế giá trị gia tăng</t>
  </si>
  <si>
    <t>Trong đó: Từ doanh nghiệp</t>
  </si>
  <si>
    <t>Từ hộ kinh doanh</t>
  </si>
  <si>
    <t>2.4</t>
  </si>
  <si>
    <t>Thuế tiêu thụ đặc biệt</t>
  </si>
  <si>
    <t>Thuế thu nhập cá nhân</t>
  </si>
  <si>
    <t>Trong đó: Từ Chuyển nhượng tài sản</t>
  </si>
  <si>
    <t>Từ Tiền lương, tiền công</t>
  </si>
  <si>
    <t>Tiền sử dụng đất</t>
  </si>
  <si>
    <t>Thuế sử dụng đất phi nông nghiệp</t>
  </si>
  <si>
    <t>Lệ phí trước bạ</t>
  </si>
  <si>
    <t>Trong đó: Lệ phí Trước bạ nhà, đất</t>
  </si>
  <si>
    <t>Thu phí, lệ phí</t>
  </si>
  <si>
    <t>Phí BVMT khai thác KS (do cơ quan thuế thu)</t>
  </si>
  <si>
    <t>Lệ phí môn bài (do cơ quan thuế thu)</t>
  </si>
  <si>
    <t>Thu khác ngân sách</t>
  </si>
  <si>
    <t xml:space="preserve"> Thu phạt VPHC do Cơ quan Thuế QL</t>
  </si>
  <si>
    <t>Các khoản thu khác còn lại</t>
  </si>
  <si>
    <t>Các khoản thu tại xã</t>
  </si>
  <si>
    <t>Thu tiền thuê mặt đất, mặt nước</t>
  </si>
  <si>
    <t>Đăk Hà</t>
  </si>
  <si>
    <t>Chi cân đối ngân sách (I+II+III)</t>
  </si>
  <si>
    <t>Chi đầu tư công:</t>
  </si>
  <si>
    <t>Chi đầu tư XDCB</t>
  </si>
  <si>
    <t>Chi thường xuyên:</t>
  </si>
  <si>
    <t>Chi hỗ trợ hoạt động khu dân cư</t>
  </si>
  <si>
    <t xml:space="preserve"> -</t>
  </si>
  <si>
    <t>Dự phòng ngân sách xã</t>
  </si>
  <si>
    <t>VI</t>
  </si>
  <si>
    <t xml:space="preserve">Dự phòng ngân sách huyện </t>
  </si>
  <si>
    <t>Quản lý hành chính, Đảng, Đoàn thể và các hội đặc thù</t>
  </si>
  <si>
    <t>Sự nghiệp Đào tạo</t>
  </si>
  <si>
    <t>SN đào tạo (Phòng Nội vụ huyện)</t>
  </si>
  <si>
    <t>F</t>
  </si>
  <si>
    <t>G</t>
  </si>
  <si>
    <t>Sự nghiệp Kinh tế</t>
  </si>
  <si>
    <t>Sự nghiệp NL-thủy lợi</t>
  </si>
  <si>
    <t>Khuyến công</t>
  </si>
  <si>
    <t>H</t>
  </si>
  <si>
    <t>Văn phòng HĐND&amp;UBND huyện</t>
  </si>
  <si>
    <t>Chi đầu tư công</t>
  </si>
  <si>
    <t>Trường MN Đăk Hà</t>
  </si>
  <si>
    <t>Trường MN Tu Mơ Rông</t>
  </si>
  <si>
    <t>Trường MN Văn Xuôi</t>
  </si>
  <si>
    <t>Trường MN Tê Xăng</t>
  </si>
  <si>
    <t>Trường MN Ngọc Yêu</t>
  </si>
  <si>
    <t>Trường MN Ngọc Lây</t>
  </si>
  <si>
    <t>Trường MN Đăk Tờ Kan</t>
  </si>
  <si>
    <t>Trường MN Đăk Rơ Ông</t>
  </si>
  <si>
    <t>Trường MN Đăk Sao</t>
  </si>
  <si>
    <t>Trường MN Đăk Na</t>
  </si>
  <si>
    <t>Trường TH Đăk Hà</t>
  </si>
  <si>
    <t>Trường THCS Bán Trú DTTS Tu Mơ Rông</t>
  </si>
  <si>
    <t>Trung tâm Giáo dục nghề nghiệp - Giáo dục thường xuyên</t>
  </si>
  <si>
    <t>Hội người cao tuổi</t>
  </si>
  <si>
    <t>V</t>
  </si>
  <si>
    <t>Mặt trận, các ngành đoàn thể huyện</t>
  </si>
  <si>
    <t>Chi bộ máy hành chính</t>
  </si>
  <si>
    <t>Phòng NN&amp;PTNT huyện</t>
  </si>
  <si>
    <t>Tổng số</t>
  </si>
  <si>
    <t>I.1</t>
  </si>
  <si>
    <t>I.2</t>
  </si>
  <si>
    <t>Sự nghiệp giáo dục - đào tạo và dạy nghề</t>
  </si>
  <si>
    <t>I.3</t>
  </si>
  <si>
    <t>I.4</t>
  </si>
  <si>
    <t>Chi sự nghiệp giáo dục</t>
  </si>
  <si>
    <t>Chi đào tạo, dạy nghề</t>
  </si>
  <si>
    <t>Các lĩnh vực chi thường xuyên khác</t>
  </si>
  <si>
    <t>Chi sự nghiệp văn hóa</t>
  </si>
  <si>
    <t>Chi sự nghiệp đảm bảo xã hội</t>
  </si>
  <si>
    <t>Chi sự nghiệp môi trường</t>
  </si>
  <si>
    <t xml:space="preserve">Chi bộ máy </t>
  </si>
  <si>
    <t>Các hội đặc thù</t>
  </si>
  <si>
    <t>Ngân sách tỉnh bổ sung có mục tiêu</t>
  </si>
  <si>
    <t>Kinh phí thực hiện chính sách giáo dục (quản lý tập trung ngân sách phân bổ khi đủ điều kiện)</t>
  </si>
  <si>
    <t>K</t>
  </si>
  <si>
    <t>Tổng chi ngân sách địa phương (A+B)</t>
  </si>
  <si>
    <t>I. Thu cân đối ngân sách</t>
  </si>
  <si>
    <t>1. Thu tại địa bàn NS huyện hưởng</t>
  </si>
  <si>
    <t>2. Bổ sung cân đối ngân sách</t>
  </si>
  <si>
    <t>II. Thu Ngân sách cấp dưới nộp lên</t>
  </si>
  <si>
    <t>III. Thu Bổ sung có mục tiêu</t>
  </si>
  <si>
    <t>1. Thu BSCMT Ngân sách tỉnh</t>
  </si>
  <si>
    <t>2. Thu BSCMT Ngân sách TW</t>
  </si>
  <si>
    <t>I. Chi đầu tư phát triển</t>
  </si>
  <si>
    <t>III. Chi dự phòng</t>
  </si>
  <si>
    <t>1. Chi từ nguồn BSCMT ngân sách tỉnh</t>
  </si>
  <si>
    <t>2. Chi từ nguồn BSCMT ngân sách TW</t>
  </si>
  <si>
    <t>I. Chi từ nguồn phạt an toàn giao thông</t>
  </si>
  <si>
    <t>II. Chi từ nguồn thu học phí</t>
  </si>
  <si>
    <t>8.1</t>
  </si>
  <si>
    <t>8.2</t>
  </si>
  <si>
    <t>Sự nghiệp Khoa học và công nghệ</t>
  </si>
  <si>
    <t>2b</t>
  </si>
  <si>
    <t>2c</t>
  </si>
  <si>
    <t>Trong đó:</t>
  </si>
  <si>
    <t>Số b/chế được giao</t>
  </si>
  <si>
    <t>Dự toán HĐND huyện giao thu trên địa bàn</t>
  </si>
  <si>
    <t>Phạt VPHC lĩnh vực ATGT</t>
  </si>
  <si>
    <t>a</t>
  </si>
  <si>
    <t>Phạt VPHC</t>
  </si>
  <si>
    <t>b</t>
  </si>
  <si>
    <t>Phạt VPHC lĩnh vực khác</t>
  </si>
  <si>
    <t>4=2-3</t>
  </si>
  <si>
    <t>Thu điều tiết ngân sách địa phương hưởng</t>
  </si>
  <si>
    <t>Chi ngân sách địa phương</t>
  </si>
  <si>
    <t>Phòng Tài nguyên và Môi trường</t>
  </si>
  <si>
    <t>Trường PTDTBT TH - THCS Măng Ri</t>
  </si>
  <si>
    <t>Trường PTDTBT TH - THCS Tu Mơ Rông</t>
  </si>
  <si>
    <t>Trường PTDTBT  TH - THCS Ngọc Lây</t>
  </si>
  <si>
    <t>Trường PTDTBT TH - THCS Ngọc Yêu</t>
  </si>
  <si>
    <t>Các đơn vị trường học</t>
  </si>
  <si>
    <t>Dự toán chi được sử dụng</t>
  </si>
  <si>
    <t>II. Chi thường xuyên</t>
  </si>
  <si>
    <t>Trung tâm Chính trị huyện</t>
  </si>
  <si>
    <t>Chi sự nghiệp truyền thanh truyền hình</t>
  </si>
  <si>
    <t>Tổng chi ngân sách xã</t>
  </si>
  <si>
    <t>M</t>
  </si>
  <si>
    <t>Hoạt động phí của Đại biểu HĐND huyện</t>
  </si>
  <si>
    <t>Trường MN Măng Ri</t>
  </si>
  <si>
    <t>Trường PTDTBT TH - THCS Văn Xuôi</t>
  </si>
  <si>
    <t>Trường PTDTBT TH - THCS Tê Xăng</t>
  </si>
  <si>
    <t>Kinh phí cấp bù thủy lợi phí</t>
  </si>
  <si>
    <t>Biểu số: 01</t>
  </si>
  <si>
    <t>Biểu số: 02</t>
  </si>
  <si>
    <t>Biểu số: 03</t>
  </si>
  <si>
    <t>Biểu số: 04</t>
  </si>
  <si>
    <t>Biểu số 05</t>
  </si>
  <si>
    <t>Kinh phí bảo trì, nâng cấp hoạt động hệ thống eOffice</t>
  </si>
  <si>
    <t>Biểu số: 06</t>
  </si>
  <si>
    <t xml:space="preserve">Chi khác ngân sách </t>
  </si>
  <si>
    <t>Kinh phí đặt hàng cung cấp dịch vụ công ích sử dụng kinh phí chi thường xuyên ngân sách nhà nước (Dịch vụ trồng và quản lý chăm sóc cây xanh, hoa cảnh vỉa hè,…)</t>
  </si>
  <si>
    <t>Kinh phí đặt hàng cung cấp dịch vụ công ích sử dụng kinh phí chi thường xuyên ngân sách nhà nước (Dịch vụ chiếu sáng đô thị)</t>
  </si>
  <si>
    <t>Ngân sách Tỉnh bổ sung</t>
  </si>
  <si>
    <t>Quốc phòng (Ban chỉ huy Quân sự huyện)</t>
  </si>
  <si>
    <t>An ninh (Công an huyện)</t>
  </si>
  <si>
    <t>Ban Chỉ đạo về công tác gia đình</t>
  </si>
  <si>
    <t>Nguồn đầu tư xây dụng cơ bản vốn trong nước</t>
  </si>
  <si>
    <t>Bổ sung nhiệm vụ cụ thể vốn sự nghiệp</t>
  </si>
  <si>
    <t>Đơn vị tính: Triệu đồng</t>
  </si>
  <si>
    <t xml:space="preserve">Tên trường </t>
  </si>
  <si>
    <t xml:space="preserve">Địa điểm xây dựng </t>
  </si>
  <si>
    <t>Ngân sách tỉnh</t>
  </si>
  <si>
    <t>Ngân sách huyện</t>
  </si>
  <si>
    <t>Huy động khác</t>
  </si>
  <si>
    <t>Biểu số: 04a</t>
  </si>
  <si>
    <t>06</t>
  </si>
  <si>
    <t>07</t>
  </si>
  <si>
    <t>08</t>
  </si>
  <si>
    <t>09</t>
  </si>
  <si>
    <t>10</t>
  </si>
  <si>
    <t>11</t>
  </si>
  <si>
    <t>12</t>
  </si>
  <si>
    <t>13</t>
  </si>
  <si>
    <t>14</t>
  </si>
  <si>
    <t>5.1</t>
  </si>
  <si>
    <t>5.2</t>
  </si>
  <si>
    <t>1.4</t>
  </si>
  <si>
    <t>4.1</t>
  </si>
  <si>
    <t>4.3</t>
  </si>
  <si>
    <t>4.2</t>
  </si>
  <si>
    <t>Trường PTDTBT TH - THCS Đăk Na</t>
  </si>
  <si>
    <t>Kinh phí hoạt động của Tổ thẩm định dự án HTPTSX</t>
  </si>
  <si>
    <t>Ban chỉ đạo phong tào toàn dân đoàn kết xây dựng đời sống văn hóa</t>
  </si>
  <si>
    <t>Sự nghiệp Thể dục thể thao (Trung tâm VHTTDL&amp;TT)</t>
  </si>
  <si>
    <t>Chi hoạt động bộ máy</t>
  </si>
  <si>
    <t>Kinh phí hoạt động của BCĐ 35</t>
  </si>
  <si>
    <t>Kinh phí hỗ trợ ủy thác cho vay</t>
  </si>
  <si>
    <t>N</t>
  </si>
  <si>
    <t>Chi khác ngân sách huyện (phân bổ khi phát sinh nhiệm vụ)</t>
  </si>
  <si>
    <t>Chi sự nghiệp khoa học và công nghệ</t>
  </si>
  <si>
    <t>Sự nghiệp giáo dục khác</t>
  </si>
  <si>
    <t>Quỹ thi đua khen thưởng (Giao phòng Nội vụ)</t>
  </si>
  <si>
    <t>Kinh phí thực hiện cuộc vận động "Người Việt Nam ưu tiên dùng hàng Việt Nam"</t>
  </si>
  <si>
    <t>Kinh phí tập huấn công tác Mặt trận, tọa đàm kỷ niệm các ngành lễ, thành lập ngành,…</t>
  </si>
  <si>
    <t>Kinh phí các hoạt động đánh giá phân hạng sản phẩm Ocoop</t>
  </si>
  <si>
    <t>Quốc phòng-An ninh</t>
  </si>
  <si>
    <t xml:space="preserve"> Lệ phí khác do cơ quan thuộc xã thu</t>
  </si>
  <si>
    <t>Dự toán chi thường xuyên theo định mức</t>
  </si>
  <si>
    <t>Hội Nạn nhân chất độc da cam</t>
  </si>
  <si>
    <t>Kinh phí mai táng phí</t>
  </si>
  <si>
    <t>P</t>
  </si>
  <si>
    <t>Kinh phí thực hiện Đề án tiếp tục nâng cao chất lượng giáo dục đối với học sinh dân tộc thiểu số 2021-2025 (giao Phòng Giáo dục và Đào tạo)</t>
  </si>
  <si>
    <t>Kinh phí thực hiện Đề án cơ sở vật chất giáo dục (giao phòng Giáo dục và Đào tạo)</t>
  </si>
  <si>
    <t>Xã Đăk Tờ Kan, Đăk Rơ Ông, Đăk Sao, Đăk Hà</t>
  </si>
  <si>
    <t>Xã Tê Xăng, Măng Ry</t>
  </si>
  <si>
    <t>Huyện ủy (Văn phòng Huyện ủy)</t>
  </si>
  <si>
    <t>Kinh phí tăng cường khuyến nông, khuyến lâm</t>
  </si>
  <si>
    <t>Kinh phí tiêm phòng dịch bệnh gia súc, gia cầm, khử trùng tiêu độc,… trên địa bàn huyện</t>
  </si>
  <si>
    <r>
      <t xml:space="preserve">Trường Mầm non xã </t>
    </r>
    <r>
      <rPr>
        <sz val="12"/>
        <color indexed="8"/>
        <rFont val="Times New Roman"/>
        <family val="1"/>
      </rPr>
      <t>Tê Xăng, Măng Ry</t>
    </r>
  </si>
  <si>
    <t>Trường Mầm non xã Đăk Tờ Kan, Đăk Rơ Ông, Đăk Sao, Đăk Hà</t>
  </si>
  <si>
    <r>
      <t xml:space="preserve">Trường Mầm non xã </t>
    </r>
    <r>
      <rPr>
        <sz val="12"/>
        <color indexed="8"/>
        <rFont val="Times New Roman"/>
        <family val="1"/>
      </rPr>
      <t>Ngọc yêu</t>
    </r>
  </si>
  <si>
    <t>Trường Mầm non xã Ngọc Lây</t>
  </si>
  <si>
    <t>Sự nghiệp môi trường và bảo vệ môi trường</t>
  </si>
  <si>
    <t xml:space="preserve">Sự nghiệp VH-TT </t>
  </si>
  <si>
    <t>Trung tâm VHTTDL&amp;TT</t>
  </si>
  <si>
    <t>Phân cấp hỗ trợ nông thôn mới</t>
  </si>
  <si>
    <t>Tổng chi (A+B)</t>
  </si>
  <si>
    <t>Kinh phí BHYT cho đối tượng bảo trợ xã hội</t>
  </si>
  <si>
    <t>Kinh phí BHYT cho đối tượng CCB, người trực tiếp tham gia kháng chiến, BVTQ, làm nhiệm vụ quốc tế tại Lào CPC, TNXP</t>
  </si>
  <si>
    <t>Kinh phí thăm các xã ĐBKK (khu vực III), xã biên giới và xã ATK theo quyết định của cấp có thẩm quyền</t>
  </si>
  <si>
    <t>Phòng LĐ-TB&amp;XH huyện</t>
  </si>
  <si>
    <t>Kinh phí thực hiện các nhiệm vụ an sinh, đảm bảo xã hội khác của địa phương</t>
  </si>
  <si>
    <t>Chi tiết theo Kế hoạch đầu tư công</t>
  </si>
  <si>
    <t>Tổng kinh phí thực hiện</t>
  </si>
  <si>
    <t>Tiết kiệm 10%</t>
  </si>
  <si>
    <t>Kinh phí thực hiện</t>
  </si>
  <si>
    <t>- Chi từ nguồn thu sử dụng đất để lại</t>
  </si>
  <si>
    <t>IV. Chi từ nguồn bổ sung có mục tiêu</t>
  </si>
  <si>
    <t>- Chi xây dựng cơ bản tập trung phân cấp</t>
  </si>
  <si>
    <t>TỔNG THU = (Phần A+Phần B)</t>
  </si>
  <si>
    <t xml:space="preserve">Quy mô, hạng mục dự kiến </t>
  </si>
  <si>
    <t>Dự toán chi đặc thù, nhiệm vụ đột xuất</t>
  </si>
  <si>
    <t>Sự nghiệp Đảm bảo xã hội</t>
  </si>
  <si>
    <t>DỰ TOÁN KINH PHÍ NÂNG CẤP, SỬA CHỮA MỘT SỐ HẠNG MỤC CÁC TRƯỜNG HỌC 
TRÊN ĐỊA BÀN HUYỆN NĂM  2022</t>
  </si>
  <si>
    <t xml:space="preserve">Nâng cấp, sửa chữa nhà bếp ăn; nạo vét giếng đào </t>
  </si>
  <si>
    <t>Nâng cấp, sửa chữa nhà bếp ăn; cấp ống dẫn nước tự chảy</t>
  </si>
  <si>
    <t>Nâng cấp, sửa chữa nhà bếp ăn và hạng mục khác</t>
  </si>
  <si>
    <t>Nâng cấp, sửa chữa nhà bếp ăn; nạo vét giếng đào và hạng mục khác</t>
  </si>
  <si>
    <t>Chi sự nghiệp y tế, dân số và gia đình</t>
  </si>
  <si>
    <t>Biểu số: 01/KH</t>
  </si>
  <si>
    <t>TỔNG HỢP CÁC CHỈ TIÊU CHỦ YẾU NĂM 2022</t>
  </si>
  <si>
    <t>Chỉ tiêu</t>
  </si>
  <si>
    <t>Đơn vị tính</t>
  </si>
  <si>
    <t>Kế hoạch tỉnh giao</t>
  </si>
  <si>
    <t>Kế hoạch huyện giao</t>
  </si>
  <si>
    <t>CHỈ TIÊU KINH TẾ</t>
  </si>
  <si>
    <t>Nông nghiệp</t>
  </si>
  <si>
    <t>Trồng trọt</t>
  </si>
  <si>
    <t>Diện tích</t>
  </si>
  <si>
    <t>Ha</t>
  </si>
  <si>
    <t xml:space="preserve"> - Lúa </t>
  </si>
  <si>
    <t xml:space="preserve"> - Ngô</t>
  </si>
  <si>
    <t>- Sắn</t>
  </si>
  <si>
    <t>- Cây rau, đậu</t>
  </si>
  <si>
    <t>- Cây cà phê</t>
  </si>
  <si>
    <t>- Cây cau su</t>
  </si>
  <si>
    <t>- Cây ăn quả</t>
  </si>
  <si>
    <t>- Cây Mắc Ca</t>
  </si>
  <si>
    <t>- Sâm Ngọc Linh</t>
  </si>
  <si>
    <t>- Cây dược liệu khác</t>
  </si>
  <si>
    <t>Chăn nuôi</t>
  </si>
  <si>
    <t>Tổng đàn</t>
  </si>
  <si>
    <t>Con</t>
  </si>
  <si>
    <t xml:space="preserve"> - Đàn trâu</t>
  </si>
  <si>
    <t xml:space="preserve"> - Đàn bò</t>
  </si>
  <si>
    <t>"</t>
  </si>
  <si>
    <t xml:space="preserve"> - Đàn lợn</t>
  </si>
  <si>
    <t xml:space="preserve"> - Đàn gia cầm</t>
  </si>
  <si>
    <t>- Đàn dê</t>
  </si>
  <si>
    <t>Thủy sản</t>
  </si>
  <si>
    <t xml:space="preserve"> - Diện tích  (diện tích ao hồ nhỏ)</t>
  </si>
  <si>
    <t>Lâm nghiệp</t>
  </si>
  <si>
    <t xml:space="preserve"> - Trồng mới rừng</t>
  </si>
  <si>
    <t xml:space="preserve"> - Tỷ lệ độ che phủ rừng (có tính cây cao su)</t>
  </si>
  <si>
    <t>%</t>
  </si>
  <si>
    <t>CHỈ TIÊU VĂN HÓA XÃ HỘI</t>
  </si>
  <si>
    <t>Tỷ lệ hộ nghèo theo chuẩn nghèo tiếp cận đa chiều giai đoạn 2021-2025 giảm ít nhất</t>
  </si>
  <si>
    <t>6-8</t>
  </si>
  <si>
    <t>Tỷ lệ bao phủ BHYT/dân số trung bình</t>
  </si>
  <si>
    <t>Số xã triển khai chương trình hành động vì trẻ em</t>
  </si>
  <si>
    <t>xã</t>
  </si>
  <si>
    <t>Chỉ tiêu Quốc phòng, an ninh</t>
  </si>
  <si>
    <t>Tỷ lệ giải quyết tố giác, tin báo về tội phạm, kiến nghị khởi tố</t>
  </si>
  <si>
    <t>Tỷ lệ giao quân</t>
  </si>
  <si>
    <t>Biểu số: 02/KH</t>
  </si>
  <si>
    <t>KẾ HOẠCH SẢN XUẤT NÔNG NGHIỆP - THỦY SẢN THEO ĐỊA BÀN NĂM 2022</t>
  </si>
  <si>
    <t>ĐVT</t>
  </si>
  <si>
    <t>KH Tỉnh Giao</t>
  </si>
  <si>
    <t>KH Huyện giao</t>
  </si>
  <si>
    <t>Tổng Cộng</t>
  </si>
  <si>
    <t>TRỒNG TRỌT</t>
  </si>
  <si>
    <t>*</t>
  </si>
  <si>
    <t>Tổng diện tích gieo trồng một số cây trồng chính</t>
  </si>
  <si>
    <t>Tổng sản lượng lương thực có hạt</t>
  </si>
  <si>
    <t>Tấn</t>
  </si>
  <si>
    <t>Trong đó: Thóc</t>
  </si>
  <si>
    <t>Cây lương thực</t>
  </si>
  <si>
    <t>Lúa cả năm</t>
  </si>
  <si>
    <t xml:space="preserve">   Năng suất</t>
  </si>
  <si>
    <t>Tạ/ha</t>
  </si>
  <si>
    <t xml:space="preserve">   Sản lượng</t>
  </si>
  <si>
    <t>Lúa Đông Xuân</t>
  </si>
  <si>
    <t>Lúa mùa</t>
  </si>
  <si>
    <t>Lúa ruộng</t>
  </si>
  <si>
    <t>Lúa rẫy</t>
  </si>
  <si>
    <t>Ngô cả năm</t>
  </si>
  <si>
    <t>Ngô vụ Đông xuân</t>
  </si>
  <si>
    <t>Ngô vụ mùa</t>
  </si>
  <si>
    <t>Sắn</t>
  </si>
  <si>
    <t xml:space="preserve"> </t>
  </si>
  <si>
    <t>Cây rau, đậu</t>
  </si>
  <si>
    <t>Rau các loại</t>
  </si>
  <si>
    <t>Cây lâu năm</t>
  </si>
  <si>
    <t>Cà phê</t>
  </si>
  <si>
    <t>Tr.đó: DT trồng mới</t>
  </si>
  <si>
    <t xml:space="preserve">         </t>
  </si>
  <si>
    <t>DT cho thu hoạch</t>
  </si>
  <si>
    <t>Cao su</t>
  </si>
  <si>
    <t>Cây ăn quả</t>
  </si>
  <si>
    <t>Trồng mới</t>
  </si>
  <si>
    <t>4.4</t>
  </si>
  <si>
    <t>Cây Mắc ca</t>
  </si>
  <si>
    <t>trồng mới</t>
  </si>
  <si>
    <t>Cây Dược liệu</t>
  </si>
  <si>
    <t>Sâm Ngọc Linh</t>
  </si>
  <si>
    <t>Trong đó trồng mới</t>
  </si>
  <si>
    <t>+</t>
  </si>
  <si>
    <t>Diện tích trồng mới trong dân</t>
  </si>
  <si>
    <t>Trồng mới doanh nghiệp</t>
  </si>
  <si>
    <t>Cây Dược liệu khác</t>
  </si>
  <si>
    <t>Các cây dược liệu khác (Đảng sâm, Ngũ vị tử, sơn tra, lan kim tuyến, sa nhân, bo bo…) trong đó:</t>
  </si>
  <si>
    <t>Trong đó Trồng mới</t>
  </si>
  <si>
    <t>Cây Đảng sâm trồng mới trong dân</t>
  </si>
  <si>
    <t>Trồng mới trong dân</t>
  </si>
  <si>
    <t>Cây dược liệu khác (sơn tra, ngũ vị tử, san nhân, lan kim tuyến….)</t>
  </si>
  <si>
    <t>Trồng mới trong doanh nghiệp</t>
  </si>
  <si>
    <t>CHĂN NUÔI</t>
  </si>
  <si>
    <t>Trâu</t>
  </si>
  <si>
    <t>Bò</t>
  </si>
  <si>
    <t>Lợn</t>
  </si>
  <si>
    <t>Dê</t>
  </si>
  <si>
    <t>Gia cầm</t>
  </si>
  <si>
    <t>THỦY SẢN</t>
  </si>
  <si>
    <t>Tổng sản lượng thủy sản</t>
  </si>
  <si>
    <t>Nuôi trồng thủy sản</t>
  </si>
  <si>
    <t>Diện tích nuôi ao hồ nhỏ</t>
  </si>
  <si>
    <t>LÂM NGHIỆP</t>
  </si>
  <si>
    <t>Diện tích phát triển trồng mới rừng tâp trung của huyện</t>
  </si>
  <si>
    <t>Biểu số: 03/KH</t>
  </si>
  <si>
    <t>KẾ HOẠCH PHÁT TRIỂN VĂN HÓA - XÃ HỘI NĂM 2022</t>
  </si>
  <si>
    <t>Dân số</t>
  </si>
  <si>
    <t>Dân số có mặt đầu năm</t>
  </si>
  <si>
    <t>Người</t>
  </si>
  <si>
    <t>Dân số có mặt cuối năm</t>
  </si>
  <si>
    <t xml:space="preserve">Dân số trung bình trong năm </t>
  </si>
  <si>
    <t>Tổng SLLT cây có hạt trên địa bàn</t>
  </si>
  <si>
    <t>Lương thực bình quân đầu người</t>
  </si>
  <si>
    <t>Kg</t>
  </si>
  <si>
    <t>Lao động và việc làm</t>
  </si>
  <si>
    <t>Số người được giải quyết việc làm (tăng thêm trong năm)</t>
  </si>
  <si>
    <t xml:space="preserve">Tỷ lệ lao động qua đào tạo </t>
  </si>
  <si>
    <t xml:space="preserve">Trong đó, tỷ lệ lao động được đào tạo nghề </t>
  </si>
  <si>
    <t>Dạy nghề lao động nông thôn (QĐ 1956)</t>
  </si>
  <si>
    <t>Giảm nghèo theo chuẩn nghèo tiếp cận đa chiều</t>
  </si>
  <si>
    <t>Số hộ nghèo</t>
  </si>
  <si>
    <t>Hộ</t>
  </si>
  <si>
    <t xml:space="preserve">Tỷ lệ hộ nghèo </t>
  </si>
  <si>
    <t>Số hộ cận nghèo</t>
  </si>
  <si>
    <t>Tỷ lệ hộ cận nghèo</t>
  </si>
  <si>
    <t>Tổng số học sinh có mặt đầu năm học do huyện quản lý</t>
  </si>
  <si>
    <t>Học sinh</t>
  </si>
  <si>
    <t>Giáo dục mầm non</t>
  </si>
  <si>
    <t>Nhà trẻ</t>
  </si>
  <si>
    <t>Mẫu giáo</t>
  </si>
  <si>
    <t>Giáo dục phổ thông</t>
  </si>
  <si>
    <t>Tiểu học</t>
  </si>
  <si>
    <t>Trung học cơ sở</t>
  </si>
  <si>
    <t>Bổ túcTrung học phổ thông</t>
  </si>
  <si>
    <t>Tổng số học sinh có mặt đầu năm trên địa bàn</t>
  </si>
  <si>
    <t>Trung học phổ thông</t>
  </si>
  <si>
    <t>c</t>
  </si>
  <si>
    <t>Bổ túc văn hóa</t>
  </si>
  <si>
    <t>Trường đạt chuẩn Quốc gia công nhận mới</t>
  </si>
  <si>
    <t>Trường</t>
  </si>
  <si>
    <t>Y tế</t>
  </si>
  <si>
    <t>Tỷ lệ bao phủ BHXH/LLLĐ tham gia</t>
  </si>
  <si>
    <t>Trong đó: Tỷ lệ bao phủ BHXH tự nguyện/LLLĐ tham gia</t>
  </si>
  <si>
    <t>Tỷ lệ bao phủ bảo hiểm thất nghiệp</t>
  </si>
  <si>
    <t>Tổng số giường bệnh</t>
  </si>
  <si>
    <t>Giường</t>
  </si>
  <si>
    <t>Trung tâm y tế</t>
  </si>
  <si>
    <t>Phòng khám đa khoa khu vực</t>
  </si>
  <si>
    <t>Trạm y tế</t>
  </si>
  <si>
    <t>Số bác sỹ/10.000 dân</t>
  </si>
  <si>
    <t>Bác sỹ</t>
  </si>
  <si>
    <t xml:space="preserve">Tỷ lệ xã đạt Bộ tiêu chí  quốc gia về y tế xã </t>
  </si>
  <si>
    <t>Tỷ lệ trạm y tế xã, phường, thị trấn có bác sỹ làm việc</t>
  </si>
  <si>
    <t>Tỷ lệ trẻ em suy dinh dưỡng thể thấp còi</t>
  </si>
  <si>
    <t>&lt; 34,5</t>
  </si>
  <si>
    <t>Tỷ lệ trẻ em suy dinh dưỡng thể cân nặng</t>
  </si>
  <si>
    <t>&lt; 18,5</t>
  </si>
  <si>
    <t>Văn hoá, thể thao, thông tin</t>
  </si>
  <si>
    <t>Tỷ lệ xã có nhà văn hóa</t>
  </si>
  <si>
    <t>Tỷ lệ thôn, làng đạt danh hiệu văn hóa</t>
  </si>
  <si>
    <t>Tỷ lệ hộ dân tộc thiểu số có đất ở</t>
  </si>
  <si>
    <t>Tỷ lệ hộ dân tộc thiểu số có đất sản xuất</t>
  </si>
  <si>
    <t>Bảo vệ và chăm sóc trẻ em</t>
  </si>
  <si>
    <t xml:space="preserve">- </t>
  </si>
  <si>
    <t>Các chỉ tiêu về môi trường</t>
  </si>
  <si>
    <t>Tỷ lệ hộ gia đình ở khu vực nông thôn sử dụng nước hợp vệ sinh</t>
  </si>
  <si>
    <t>Tỷ lệ xã, phường, thị trấn mạnh về phong trào toàn dân bảo vệ an ninh Tổ quốc</t>
  </si>
  <si>
    <t>Biểu số: 04/KH</t>
  </si>
  <si>
    <t>KẾ HOẠCH PHÁT TRIỂN SỰ NGHIỆP GIÁO DỤC NĂM HỌC 2022-2023</t>
  </si>
  <si>
    <t>ĐVT: Cháu, học sinh</t>
  </si>
  <si>
    <t>Số TT</t>
  </si>
  <si>
    <t>Cấp quản lý/đơn vị</t>
  </si>
  <si>
    <t>Loại hình</t>
  </si>
  <si>
    <t>Chia theo cấp học</t>
  </si>
  <si>
    <t>Trong tổng số</t>
  </si>
  <si>
    <t>Công
 lập</t>
  </si>
  <si>
    <t>Ngoài C.lập</t>
  </si>
  <si>
    <t>Tiểu học
(công lập)</t>
  </si>
  <si>
    <t>THCS 
(công lập)</t>
  </si>
  <si>
    <t>THPT</t>
  </si>
  <si>
    <t>Bổ túc VH</t>
  </si>
  <si>
    <t>Nội trú</t>
  </si>
  <si>
    <t>Hướng nghiệp  D.nghề</t>
  </si>
  <si>
    <t>Công lập</t>
  </si>
  <si>
    <t>THCS</t>
  </si>
  <si>
    <t>Cấp Tỉnh quản lý</t>
  </si>
  <si>
    <t xml:space="preserve"> Trường DTNT Tu Mơ Rông</t>
  </si>
  <si>
    <t>Cấp Huyện quản lý</t>
  </si>
  <si>
    <t xml:space="preserve"> Huyện Tu Mơ Rông</t>
  </si>
  <si>
    <t>(Kèm theo Quyết định số          /QĐ-UBND ngày         /12/2021 của UBND huyện Tu Mơ Rông)</t>
  </si>
  <si>
    <t>Trường PTDTBT TH-THCS Đăk Sao</t>
  </si>
  <si>
    <t>Kinh phí hoạt động BCĐ thực hiện công tác QLBV và phát triển rừng</t>
  </si>
  <si>
    <t xml:space="preserve"> Lệ phí do cơ quan thuộc tỉnh, huyện thu</t>
  </si>
  <si>
    <t>Kinh phí thực hiện chính sách đặc thù của địa phương trợ giúp xã hội đối tượng BTXH theo NQ HĐND tỉnh triển khai NĐ số 20/2020/NĐ-CP</t>
  </si>
  <si>
    <t>Kinh phí thực hiện cuộc vận động toàn dân đoàn kết KDC</t>
  </si>
  <si>
    <t xml:space="preserve">Kinh phí chỉnh trang đô thị khu trung tâm huyện </t>
  </si>
  <si>
    <t>Phòng Văn hóa - Thông tin</t>
  </si>
  <si>
    <t xml:space="preserve">Kinh phí phòng chống lũ bão giảm nhẹ thiên tai </t>
  </si>
  <si>
    <t>Kinh phí học hỏi kinh nghiệm đại biểu HĐND huyện</t>
  </si>
  <si>
    <t>Kinh phí duy trì phần mềm eofice</t>
  </si>
  <si>
    <t>Kinh phí thực hiện Cuộc vận động thay đổi nếp nghĩ cách làm (làm mô hình dược liệu, cây ăn quả)</t>
  </si>
  <si>
    <t>Kinh phí hoạt động theo QĐ số 99-QĐ/TW</t>
  </si>
  <si>
    <t>Kinh phí thuê bao đường truyền, bảo trì, vận hành, sửa chữa, máy móc, nâng cấp hệ thống Tabmis</t>
  </si>
  <si>
    <t>Ngân sách Trung ương bổ sung có mục tiêu</t>
  </si>
  <si>
    <t>Phòng Nông nghiệp và Phát triển nông thôn</t>
  </si>
  <si>
    <t>Kinh phí tập huấn công tác kế toán (kế toác các trường học, UBND các xã, các phòng, ban, đơn vị)</t>
  </si>
  <si>
    <t>Chi bổ sung mục tiêu từ ngân sách cấp trên</t>
  </si>
  <si>
    <t xml:space="preserve">Trong đó: Thu BSCMT CT MTQG </t>
  </si>
  <si>
    <t>Trong đó: Chi từ nguồn BSCMT CT MTQG</t>
  </si>
  <si>
    <t>Tổng dự toán chi huyện giao</t>
  </si>
  <si>
    <t xml:space="preserve">Chi sự nghiệp y tế, dân số và gia đình </t>
  </si>
  <si>
    <t>Tổng dự toán chi thường xuyên cân đối và dự phòng ngân sách huyện</t>
  </si>
  <si>
    <t>Kinh phí thực hiện xóa bỏ các thủ tục lạc hậu, phong tục không còn phù hợp</t>
  </si>
  <si>
    <t>Kinh phí thanh tra kiểm tra các hoạt động tài nguyên môi trường</t>
  </si>
  <si>
    <t>Kinh phí công tác tôn giáo</t>
  </si>
  <si>
    <t>Kinh phí may trang phục ngành</t>
  </si>
  <si>
    <t>Kinh phí tuyên truyền, phổ biến Luật Tố cáo, phổ biến giáo dục pháp luật về phòng chống tham nhũng</t>
  </si>
  <si>
    <t>Kinh phí công tác thanh tra theo kế hoạch và đột xuất</t>
  </si>
  <si>
    <t>Kinh phí được trích từ nguồn thu hồi phát hiện qua thanh tra</t>
  </si>
  <si>
    <t>Kinh phí xử lý đơn thư, khiếu nại, tố cáo</t>
  </si>
  <si>
    <t>Kinh phí cho công tác điều tra hộ nghèo</t>
  </si>
  <si>
    <t>Kinh phí đăng ký kinh doanh, hợp tác xã và công tác kiểm tra hoạt động ĐKKD, Hợp tác xã</t>
  </si>
  <si>
    <t>Kinh phí quản lý các chương trình thực hiện các chính sách dân tộc</t>
  </si>
  <si>
    <t>Kinh phí huấn luyện Khối Tự vệ</t>
  </si>
  <si>
    <t>Kinh phí cho công tác tiếp xúc cử tri, giám sát, phản biện xã hội</t>
  </si>
  <si>
    <t>Kinh phí giám sát đánh giá đầu tư cộng đồng</t>
  </si>
  <si>
    <t>Kinh phí cuộc vận động toàn dân đoàn kết XD NTM</t>
  </si>
  <si>
    <t>Kinh phí tổ chức sơ kết, tổng kết Cuộc vận động thay đổi nếp nghĩ, cách làm</t>
  </si>
  <si>
    <t xml:space="preserve">Kinh phí cho các hoạt động về nguồn tại khu căn cứ Tỉnh ủy Măng Ri </t>
  </si>
  <si>
    <t>Kinh phí làm cổng chào phục vụ các ngày lễ, hội của huyện</t>
  </si>
  <si>
    <t>Kinh phí tổ chức, tham gia các hoạt động của Hội các cấp</t>
  </si>
  <si>
    <t>Kinh phí tập huấn công tác Hội</t>
  </si>
  <si>
    <t>Kinh phí các hoạt động đặc thù của Hội</t>
  </si>
  <si>
    <t>Kinh phí tổ chức các ngày 08/3, 20/10</t>
  </si>
  <si>
    <t>Kinh phí thực hiện các Đề án 938, 939; tập huấn khởi nghiệp, xây dựng mô hình Phụ nữ khởi nghiệp; công tác tuyên truyền; phát động phong trào thi đua,…</t>
  </si>
  <si>
    <t>Kinh phí Quà động viên cho tân binh lên đường nhập ngũ, xuất ngũ, thăm động viên chiến sỹ mới</t>
  </si>
  <si>
    <t>Kinh phí phụ cấp viết bài và các nội dung khác liên quan đến Trang TTĐT</t>
  </si>
  <si>
    <t>Kinh phí Ban tiếp công dân</t>
  </si>
  <si>
    <t>Kinh phí kinh phí thẩm định và góp ý văn bản quy phạm pháp luật</t>
  </si>
  <si>
    <t>Kinh phí kinh phí hoạt động theo QĐ số 99-QĐ/TW</t>
  </si>
  <si>
    <t>Kinh phí kinh phí thực hiện  nhiệm vụ trong công tác lý lịch tư pháp, hộ tịch, tuyên truyền pháp luật</t>
  </si>
  <si>
    <t>Kinh phí kinh phí triển khai công tác phổ biến GDPL, hòa giải ở cơ sở,…</t>
  </si>
  <si>
    <t>Kinh phí các hoạt động đặc thù của Hội, Chương mục tiêu quốc gia Người cao tuổi (chi tuyên truyền; phát động; Chi thăm hỏi, đau ốm, kỷ niệm ngày Quốc tế NCT, ngày Người cao tuổi VN và thực hiện các nhiệm vụ được giao theo quy định)</t>
  </si>
  <si>
    <t>Kinh phí công tác Sơ kết, tổng kết Hội, biểu dương cá nhân, Hội có thành tích xuất sắc</t>
  </si>
  <si>
    <t>Kinh phí các hoạt động đặc thù của Hội (thực hiện các nhiệm vụ huy động, vận động; tổ chức lễ phát động các nội dung theo chỉ đạo của cấp có thẩm quyền, tuyên truyền, thực hiện các nhiệm vụ được giao theo quy định)</t>
  </si>
  <si>
    <t>Kinh phí công tác Sơ kết, tổng kết Hội, biểu dương các cá nhân, Hội có thành tích xuất sắc</t>
  </si>
  <si>
    <t>Kinh phí các hoạt động đặc thù của Hội (tuyên truyền; thực hiện các chính sách và nhiệm vụ được giao theo quy định)</t>
  </si>
  <si>
    <t>Kinh phí các hoạt động đặc thù của Hội (chi tuyên truyền; khảo sát, khen thưởng; Chi chăm sóc giúp đỡ, kỷ niệm ngày "vì nạn nhân chất độc da cam Việt Nam"…)</t>
  </si>
  <si>
    <t>Kinh phí xăng, bảo hiểm, đăng kiểm và sửa chữa nhỏ xe ô tô thường xuyên</t>
  </si>
  <si>
    <t>Kinh phí tiền điện Truyền thanh - Truyền hình, lệ phí tần số vô tuyến điện</t>
  </si>
  <si>
    <t>Kinh phí thực hiện chính sách Kinh phí tiền điện hộ nghèo, hộ chính sách xã hội</t>
  </si>
  <si>
    <t>Hạt Kiểm lâm huyện (Kinh phí kinh phí tổ chức thực hiện nhiệm vụ PCCCR)</t>
  </si>
  <si>
    <t>Kinh phí kinh phí tìm kiếm quy tập hài cốt liệt sỹ</t>
  </si>
  <si>
    <t>Kinh phí đấu tranh chống tà đạo,…</t>
  </si>
  <si>
    <t>Kinh phí các nhiệm vụ ANTT khác (Đảm bảo ANTT cơ sở, bảo vệ ANBG, phòng chống ma túy, ngăn ngừa các điểm nóng về ANTT; Kinh phí bồi dưỡng CBCS trực, bảo vệ các hoạt động các dịp lễ, ngày lễ lớn ...)</t>
  </si>
  <si>
    <t>Kinh phí hoạt động khối 487</t>
  </si>
  <si>
    <t>Kinh phí chi bộ máy quản lý và hoạt động</t>
  </si>
  <si>
    <t>Kinh phí chi bộ máy quản lý</t>
  </si>
  <si>
    <t>Kinh phí cho các hoạt động nhân đạo</t>
  </si>
  <si>
    <t>Kinh phí tham gia giải thể thao học sinh cấp tỉnh tổ chức</t>
  </si>
  <si>
    <t>Kinh phí hoạt động theo QĐ số 99-BTC/TW</t>
  </si>
  <si>
    <t>Kinh phí đào tạo, bồi dưỡng,…</t>
  </si>
  <si>
    <t>Kinh phí tham gia các hoạt động TDTT do tỉnh tổ chức trong năm</t>
  </si>
  <si>
    <t>Kinh phí tổ chức các hoạt động TDTT trong năm trên địa bàn huyện (bao gồm các hoạt động thể thao khác trong năm của huyện...)</t>
  </si>
  <si>
    <t>Kinh phí thực hiện các hoạt động: quay phim, biên tập, sửa chữa nhỏ máy móc, thiết bị, …</t>
  </si>
  <si>
    <t>Kinh phí biên tập tiếng Xê Đăng</t>
  </si>
  <si>
    <t>Kinh phí cho công tác tuyên truyền, hội thảo, tập huấn kỹ thuật cây trồng, vật nuôi</t>
  </si>
  <si>
    <t>Kinh phí cho công tác chăn nuôi và thú y, Bảo vệ thực vật</t>
  </si>
  <si>
    <t>Kinh phí Tổ xúc tiến đầu tư và Kinh phí kinh doanh</t>
  </si>
  <si>
    <t>Kinh phí thẩm tra các báo cáo, đề án, tờ trình, dự thảo nghị quyết … (theo Nghị quyết 81/2021/NQ-HĐND, ngày 14/12/2021 của HĐND tỉnh)</t>
  </si>
  <si>
    <t>Kinh phí Hội đồng phát triển nguồn nhân lực</t>
  </si>
  <si>
    <t>Kinh phí BCĐ phát triển kinh tế tập thể huyện</t>
  </si>
  <si>
    <t>Kinh phí xây dựng, thảo luận, làm việc dự toán hàng năm với tỉnh, in ấn; Điều tra, khảo sát, đánh giá, tổng hợp, xây dựng phương án PBNS, Phương án phân bổ kế hoạch đầu tư công hàng năm; tổng hợp, thảo luận, đánh giá, xây dựng kế hoạch phát triển KTXH hàng năm; thực hiện một số nhiệm vụ chuyên môn khác</t>
  </si>
  <si>
    <t>Kinh phí chi học tập và làm theo tấm gương đạo đức Hồ Chí Minh</t>
  </si>
  <si>
    <t>Kinh phí Ban Chỉ đạo tôn giáo huyện</t>
  </si>
  <si>
    <t>Kinh phí chi đặt báo Đảng,…</t>
  </si>
  <si>
    <t>Kinh phí Phụ cấp UVBCH</t>
  </si>
  <si>
    <t>Kinh phí chi các hoạt động về Đoàn, Hội, Đội (bao gồm các hoạt động của tỉnh)</t>
  </si>
  <si>
    <t>Kinh phí Hoạt động tuyên dương nhân ngày nhà giáo Việt Nam 20-11</t>
  </si>
  <si>
    <t>Kinh phí Chương trình PCGD</t>
  </si>
  <si>
    <t>Kinh phí chi chuyên môn bậc MN</t>
  </si>
  <si>
    <t>Kinh phí chi chuyên môn bậc TH</t>
  </si>
  <si>
    <t>Kinh phí chi chuyên môn bậc THCS</t>
  </si>
  <si>
    <t>Kinh phí chi dọn vệ sinh, giặt chăn mền, mùng, chiếu</t>
  </si>
  <si>
    <t>Kinh phí chi chăm sóc cây xanh, cải tạo khuôn viên</t>
  </si>
  <si>
    <t>Kinh phí nạo vét, phát quang đường trung tâm huyện đi 4 xã Phía Tây</t>
  </si>
  <si>
    <t>Kinh phí nạo vét,cống, kênh mương khu trung tâm huyện</t>
  </si>
  <si>
    <t>Kinh phí chi nhiệm vụ ứng dụng và chuyển giao công nghệ (Phòng kinh tế và Hạ tầng)</t>
  </si>
  <si>
    <t xml:space="preserve">Kinh phí huấn luyện dân quân tự vệ </t>
  </si>
  <si>
    <t>Kinh phí sửa chữa hệ thống âm thanh, ánh sáng</t>
  </si>
  <si>
    <t>Kinh phí chi làm mới, in ấn các khung, pa nô,... tuyên truyền, lễ hội</t>
  </si>
  <si>
    <t>Kinh phí chi công tác quản lý hành chính về TTXH (tuyên truyền nhân dân giao nộp vũ khí, vật liệu nổ, CCHT; chi cho công tác tập huấn nghiệp vụ bảo vệ bí mật nhà nước, PCCC, cứu nạn cứu hộ tập huấn cho Công an xã,…)</t>
  </si>
  <si>
    <t>Kinh phí chi trả tiền điện, dịch vụ Internet và duy trì hoạt động hệ thống camera giám sát ANTT,…</t>
  </si>
  <si>
    <t>Kinh phí ủy thác qua Ngân hàng chính sách xã hội huyện cho vay hộ nghèo, hộ chính sách xã hội</t>
  </si>
  <si>
    <t>Kinh phí công tác tuyển dụng, dự thi thăng hạng công chức, viên chức</t>
  </si>
  <si>
    <t>Kinh phí bảo trì, sửa chữa máy móc, thiết bị, trả cước thuê bao trực tuyến; sửa chữa thiết bị trực tuyến; duy trì trang TTĐT huyện</t>
  </si>
  <si>
    <t>Kinh phí chi tổ chức các kỳ họp HĐND huyện (thường kỳ, chuyên đề, giao ban,...) (theo Nghị quyết 81/2021/NQ-HĐND, ngày 14/12/2021 của HĐND tỉnh)</t>
  </si>
  <si>
    <t>Kinh phí thăm hỏi ốm đau, trợ cấp khó khăn, đột xuất đại biểu HĐND (theo Nghị quyết 81/2021/NQ-HĐND, ngày 14/12/2021 của HĐND tỉnh)</t>
  </si>
  <si>
    <t>Kinh phí chi cho công tác giám sát, khảo sát của TT HĐND, các ban và Tổ Đại biểu của HĐND huyện; Tiếp xúc cử tri theo chương trình tiếp xúc cử tri của HĐND huyện; tiếp công dân (theo Nghị quyết 81/2021/NQ-HĐND, ngày 14/12/2021 của HĐND tỉnh)</t>
  </si>
  <si>
    <t>Kinh phí hoạt động của đội ngũ Cộng tác viên dư luận xã hội</t>
  </si>
  <si>
    <t>Kinh phí Phụ cấp Đại biểu HĐND xã</t>
  </si>
  <si>
    <t>Kinh phí Phụ cấp cấp ủy</t>
  </si>
  <si>
    <t xml:space="preserve">Kinh phí hoạt động theo QĐ số 99-QĐ/TW </t>
  </si>
  <si>
    <t>Kinh phí hoạt động quản lý nhà nước, Đảng, Đoàn thể (trong đó bao gồm hỗ trợ kinh phí hoạt động của HĐND xã, trang bị, gia hạn các phần mềm MISA,...)</t>
  </si>
  <si>
    <t>Kinh phí duy trì hoạt động của hệ thống trực tuyến</t>
  </si>
  <si>
    <t>Kinh phí chi tiền ăn đào tạo, bồi dưỡng cho cán bộ không chuyên trách xã, thôn theo Thông tư 36/2018/TT-BTC</t>
  </si>
  <si>
    <t>Kinh phí xây dựng, phát triển sản phẩm địa phương (Chương trình mỗi xã một sản phẩm)</t>
  </si>
  <si>
    <t>Kinh phí thực hiện CCTTHC</t>
  </si>
  <si>
    <t>Kinh phí hoạt động của Ban tiếp công dân</t>
  </si>
  <si>
    <t>Kinh phí cho công tác PCCCR (sơ kết, tổng kết,…)</t>
  </si>
  <si>
    <t>Kinh phí Ban giám sát đầu tư cộng đồng</t>
  </si>
  <si>
    <t>Kinh phí chi sự nghiệp thể dục thể thao</t>
  </si>
  <si>
    <t>Kinh phí chi sự nghiệp Văn hóa (Hỗ trợ tham gia các hoạt động Văn hóa, nghệ thuật trong năm…)</t>
  </si>
  <si>
    <t>Kinh phí trung tâm giáo dục cộng đồng</t>
  </si>
  <si>
    <t xml:space="preserve">Sự nghiệp GD-ĐT </t>
  </si>
  <si>
    <t>Kinh phí hỗ trợ thôn làng đón Tết Nguyên đán (Tổ chức ngày Hội bánh chưng xanh)</t>
  </si>
  <si>
    <t>Kinh phí họat động ĐBXH trên địa bàn (bao gồm hỗ trợ điều tra rà soát hộ nghèo, hộ cận nghèo)</t>
  </si>
  <si>
    <t>Kinh phí hỗ trợ cán bộ già yếu nghỉ việc</t>
  </si>
  <si>
    <t>Kinh phí chi an ninh trật tự an toàn xã hội</t>
  </si>
  <si>
    <t>Kinh phí tổ chức bồi dưỡng kiến thức Quốc phòng - An ninh cho đối tượng 4</t>
  </si>
  <si>
    <t>Kinh phí cho công tác huấn luyện DQTV (Huấn luyện năm thứ 2 trở đi)</t>
  </si>
  <si>
    <t>Kinh phí hỗ trợ thêm kinh phí hoạt động cho các tổ chức chính trị - xã hội cấp xã 1,5 trđ/xã/năm</t>
  </si>
  <si>
    <t>Kinh phí hoạt động các chi hội tổ chức chính trị xã hội đặc biệt khó khăn</t>
  </si>
  <si>
    <t>Kinh phí Ban TTND</t>
  </si>
  <si>
    <t>Kinh phí Tổ hòa giải</t>
  </si>
  <si>
    <t>Kinh phí sinh hoạt cấp Ủy viên UBMTTQ cấp huyện theo QĐ số 33/2014/QĐ-TTg</t>
  </si>
  <si>
    <t>Trong đó: Tiết kiệm 10% chi hoạt động thường xuyên theo định mức</t>
  </si>
  <si>
    <t xml:space="preserve">Tiết kiệm 10% chi thường xuyên </t>
  </si>
  <si>
    <t>Kinh phí chi sự nghiệp môi trường</t>
  </si>
  <si>
    <t>Kinh phí hỗ trợ mô hình phát triển nông lâm nghiệp</t>
  </si>
  <si>
    <t>Đvt: Triệu đồng</t>
  </si>
  <si>
    <t>Đvt: Triệu đồng.</t>
  </si>
  <si>
    <t>Trường TH-THCS Đăk Rơ Ông</t>
  </si>
  <si>
    <t>Kinh phí hoạt động Tiểu đội dân quân Thường trực</t>
  </si>
  <si>
    <t>Kinh phí cho đại biểu HĐND huyện, xã tham gia tập huấn</t>
  </si>
  <si>
    <t>Kinh phí cho ý kiến tham gia các dự án Luật, Pháp lệnh, Nghị quyết của Quốc hội, UBTV Quốc hội do Thường trực HĐND huyện tổ chức</t>
  </si>
  <si>
    <t>Kinh phí chi gặp mặt các gia đình chính sách, chức sắc tôn giáo, thôn trưởng nhân ngày lễ tết; Thăm hỏi cán bộ công chức, viên chức ốm đau…</t>
  </si>
  <si>
    <t xml:space="preserve">Kinh phí hoạt động Ban Chỉ huy PCTT-TKCN </t>
  </si>
  <si>
    <t>Kinh phí quỹ khuyến học</t>
  </si>
  <si>
    <t>Kinh phí hội thảo nâng cao chất lượng giáo dục</t>
  </si>
  <si>
    <t>Kinh phí làm công tác bảo vệ chính trị nội bộ</t>
  </si>
  <si>
    <t>Kinh phí cho các hoạt động hè cho thiếu nhi</t>
  </si>
  <si>
    <t>Kinh phí hoạt động mùa hè xanh</t>
  </si>
  <si>
    <t>Kinh phí tổ chức cuộc thi  video clip giới thiệu về du lịch huyện Tu Mơ Rông với chủ đề:“Trải nghiệm văn hóa, khám phá thiên nhiên Tu Mơ Rông”</t>
  </si>
  <si>
    <t xml:space="preserve">Kinh phí tổ chức Liên hoan Ẩm thực người đồng bào dân tộc Xơ Đăng </t>
  </si>
  <si>
    <t>Kinh phí tổ chức Liên hoan Cồng chiêng cấp huyện</t>
  </si>
  <si>
    <t>Kinh phí tổ chức cuộc thi video clip "Làm thay đổi nếp nghĩ cách làm"</t>
  </si>
  <si>
    <t>Q</t>
  </si>
  <si>
    <t>Kinh phí thực hiện chính sách phát triển giáo dục mầm non theo Nghị định số 105/2020/NĐ-CP</t>
  </si>
  <si>
    <t>KP hỗ trợ học bổng, chi phí học tập cho học sinh khuyết tật theo TTLT số 42/2013/TTLT-BGDĐT-BLĐTBXH-BTC</t>
  </si>
  <si>
    <t>Kinh phí hỗ trợ học sinh và Trường phổ thông xã, thôn đặc biệt khó khăn theo Nghị định số 116/2016/NĐ-CP</t>
  </si>
  <si>
    <t>2d</t>
  </si>
  <si>
    <t>Dự toán chi  lương, các khoản phụ cấp theo mức lương 1,49 trđ</t>
  </si>
  <si>
    <t>Dự toán chi  lương, các khoản phụ cấp theo mức lương cơ sở tăng thêm 0,31 trđ</t>
  </si>
  <si>
    <t>Kinh phí chi công tác tuyển quân</t>
  </si>
  <si>
    <t>Kinh phí quản lý, bảo vệ nhà bia tưởng niệm cấp xã</t>
  </si>
  <si>
    <t>Kinh phí thực hiện CCTTHC (Trung tâm hành chính công, hoạt động của Tổ CCTTHC)</t>
  </si>
  <si>
    <t>Kinh phí xúc tiến quảng bá, hội họp, sơ kết, tổng kết các nội dung chương trình, dự án trong và ngoài tỉnh của Lãnh đạo UBND huyện</t>
  </si>
  <si>
    <t>Kinh phí kiểm tra công tác cải cách TTHC</t>
  </si>
  <si>
    <t>Kinh phí kinh phí thực hiện các hoạt động xúc tiến du lịch, quảng bá sản phẩm đặc hữu địa phương trong và ngoài tỉnh…. (Bao gồm hoạt động Ban chỉ đạo xúc tiến phát triển du lịch)</t>
  </si>
  <si>
    <t>Kinh phí tổ chức Hội nghị Khởi nghiệp định hướng nghề nghiệp…</t>
  </si>
  <si>
    <t>Kinh phi tổ chức thăm quan Lăng Bác cho học sinh tiểu biểu (học sinh giỏi, học sinh có hoàn cảnh khó khăn vượt khó trong học tập)</t>
  </si>
  <si>
    <t>Kinh phí các hoạt động văn hóa, văn nghệ (bao gồm các hoạt động văn hóa, văn nghệ phục vụ các ngày lễ, hội nghị lớn do huyện tổ chức và tham gia các hoạt động văn hóa, văn nghệ do cấp tỉnh tổ chức)</t>
  </si>
  <si>
    <t>Kinh phí biên chế chưa tuyển khối QLHC-Đảng - Đoàn thể, các đơn sự nghiệp khác (bao gồm hệ số lương, phụ cấp thu hút, khu vực, công vụ…)</t>
  </si>
  <si>
    <t>Kinh phí biên chế chưa tuyển (bao gồm hệ số lương, phụ cấp thu hút, khu vực, công vụ…)</t>
  </si>
  <si>
    <t>Kinh phí Lập quy hoạch vùng huyện</t>
  </si>
  <si>
    <t>Kinh phí gặp mặt đối thoại DN, HTX, hộ kinh doanh và đánh giá chỉ số DDCI</t>
  </si>
  <si>
    <t xml:space="preserve">Kinh phí chi trả cước thuê bao Fiber Wifi+ cho 60 điểm truy cập </t>
  </si>
  <si>
    <t>Nguồn vốn phân cấp cho huyện (chi tiết theo Kế hoạch đầu tư công năm 2024)</t>
  </si>
  <si>
    <t>Được bố trí nhiệm vụ chi (chi tiết theo Kế hoạch đầu tư công năm 2024)</t>
  </si>
  <si>
    <t>Hỗ trợ UBKT kiêm chức</t>
  </si>
  <si>
    <t>Kinh phí tổ chức tuyên dương già làng, thôn trưởng, người có uy tín trong phát triển KTXH, xóa đói, giảm nghèo; giữ gìn phát huy bản sắc văn hóa, bài trừ hủ tục lạc hậu…(gồm chi hỗ trợ nhân dịp Tết nguyên đán mức chi 500.000 đồng/người theo NQ 73/2020/NQ-HĐND ngày 14/12/2020 và NQ 72/2021/NQ-HĐND ngày 14/12/2021 của HĐND tỉnh)</t>
  </si>
  <si>
    <t>Kinh phí Ban Chỉ đạo cuộc vận động "làm thay đổi nếp nghĩ cách làm của đồng bào dân tộc thiểu số, làm cho đồng bào dân tộc thiểu số vươn lên thoát nghèo bền vững" (đã bố trí kinh phí UBMTTQ VN)</t>
  </si>
  <si>
    <t>Kinh phí hỗ trợ miễn giảm học phí và hỗ trợ chi phí học tập theo Nghị định số 81/2021/NĐ-CP</t>
  </si>
  <si>
    <t>Kinh phí tổ chức tiếp xúc cử tri của đại biểu Hội đồng nhân dân tỉnh và thực hiện chuyên mục "diễn đàn cử tri năm"</t>
  </si>
  <si>
    <t>Kinh phí thực hiện Nghị định số 33/2023/NĐ-CP của Chính phủ (Giao UBND các xã thực hiện-Chi tiết Biểu số 05)</t>
  </si>
  <si>
    <t>Ứng dụng khoa học công nghệ (Giao Phòng Kinh tế - Hạ tầng thực hiện)</t>
  </si>
  <si>
    <t>Kinh phí tổ chức tiếp xúc cử tri của đại biểu Hội đồng nhân dân tỉnh và thực hiện chuyên mục "diễn đàn cử tri năm" (Giao UBND các xã thực hiện-Chi tiết Biểu số 05)</t>
  </si>
  <si>
    <t>Kinh phí khoán Phụ cấp và các khoản trích nộp cán bộ không chuyên trách xã (Nghị định số 33/2023/NĐ-CP của Chính phủ)</t>
  </si>
  <si>
    <t>Kinh phí khoán Phụ cấp và các khoản trích nộp cán bộ không chuyên trách thôn (Nghị định số 33/2023/NĐ-CP của Chính phủ)</t>
  </si>
  <si>
    <t>Kinh phí đặt hàng cung cấp dịch vụ công ích sử dụng kinh phí chi thường xuyên ngân sách nhà nước (Dịch vụ thu gom, phân loại, vận chuyển, nhiên liệu, xử lý chất thải rác và thuê đơn vị xử lý rác vệ sinh công cộng,…)</t>
  </si>
  <si>
    <t>Kinh phí tổ chức thi Làn điệu Tingting và nghệ thuật quần chúng của người Xơ Đăng</t>
  </si>
  <si>
    <t>Kinh phí phí lắp đặt mạng phát wifi, cước Wifi</t>
  </si>
  <si>
    <t>Kinh phí thực hiện theo Quy định 946-QĐ/TU (Chi hội nghị; Chi xây dựng và thẩm định văn bản; Chi cho các đoàn kiểm tra, giám sát được thành lập theo quyết định của BTV HU; Chi tiếp công dân; Chi cho công tác xã hội: thăm hỏi, tặng quà cán bộ lão thành, người có công với nước, Bà mẹ VNAH..., Thăm hỏi, tặng quà, gặp mặt già làng, thôn trưởng năm 2024; Chế độ khác: chi trang phục, bồi dưỡng phục vụ hoạt động của Huyện ủy, bồi dưỡng công tác văn thư, tặng quà lưu niệm...)</t>
  </si>
  <si>
    <t>Kinh phí BCĐ "Vì sự tiến bộ Phụ nữ"</t>
  </si>
  <si>
    <t>Kinh phí Ban Bảo vệ trẻ em</t>
  </si>
  <si>
    <t>Kinh phí hoạt động Tổ công tác CTMTQG xây dựng NTM và VP điều phối NTM huyện</t>
  </si>
  <si>
    <t>Kinh phí thực hiện chính sách đối với người đồng bào dân tộc thiểu số</t>
  </si>
  <si>
    <t>Kinh phí Ban ATGT</t>
  </si>
  <si>
    <t>Kinh phí biên soạn lịch sử lực lượng vũ trang huyện</t>
  </si>
  <si>
    <t xml:space="preserve">Kinh phí đường truyền hệ thống ioffice </t>
  </si>
  <si>
    <t>Kinh phí tiền điện, sửa chữa, bão dưỡng, vận hành Loa không dây và các Trạm thu phát lại tại các xã</t>
  </si>
  <si>
    <t>Kinh phí Hội đồng thẩm định giá đất</t>
  </si>
  <si>
    <t>Kinh phí thực hiện Kết luận 61-KL/TW</t>
  </si>
  <si>
    <t>Kinh phí sơ kết, tổng kết Hội</t>
  </si>
  <si>
    <t>Kinh phí quản lý khu vệ sinh tại khu vực bên ngoài Hội trường chung</t>
  </si>
  <si>
    <t>Nguồn thu tiền sử dụng đất theo dự toán trung ương giao chi thực hiện công tác quy hoạch, đo đạc, đăng ký quản lý đất đai, cấp giấy chứng nhận, xây dựng cơ sở, đăng ký biến động, chỉnh lý hồ sơ địa chính và lập quy hoạch, kế hoạch sử dụng đất (1)</t>
  </si>
  <si>
    <t>Nguồn thu tiền sử dụng đất, tiền thuê đất giao tăng thu so với dự toán trung ương giao để chi cho công tác đo đạc, đăng ký đất đai, cấp Giấy chứng nhận, xây dựng cơ sở dữ liệu đất đai và đăng ký biến động, chỉnh lý hồ sơ địa chính thường xuyên theo Chỉ thị số 1474/CT-TTg ngày 24/8/2011 của Thủ tướng Chính phủ (1)</t>
  </si>
  <si>
    <t>Nguồn vốn đầu tư phát triển</t>
  </si>
  <si>
    <t>Kinh phí thực hiện các chính sách an sinh xã hội</t>
  </si>
  <si>
    <t>Bổ sung kinh phí thực hiện nhiệm vụ đảm bảo trật tự an toàn giao thông (Giao Công an huyện)</t>
  </si>
  <si>
    <t>Trung tâm Y tế huyện (Kinh phí khám tuyển nghĩa vụ quân sự, nghĩa vụ công an nhân dân)</t>
  </si>
  <si>
    <t>Kinh phí ủy thác cho vay hộ nghèo, hộ chính sách</t>
  </si>
  <si>
    <t>Kinh phí Phụ cấp Báo cáo viên, thù lao đứng lớp…</t>
  </si>
  <si>
    <t>Thu cấp quyền khai thác tài nguyên khoáng sản, vùng trời vùng biển</t>
  </si>
  <si>
    <t>Thu tiền thuê rừng</t>
  </si>
  <si>
    <t>Giấy phép do trung ương cấp</t>
  </si>
  <si>
    <t>Giấy phép do UBND cấp tỉnh cấp</t>
  </si>
  <si>
    <t>Kinh phí chi khác sự nghiệp giáo dục tập trung</t>
  </si>
  <si>
    <t>Kinh phí Phòng chống bệnh sốt xuất huyết; tuyên truyền ngày vệ sinh yêu nước và công tác kiểm tra, giám sát an toàn thực phẩm; Kinh phí kiểm tra đột xuất bếp ăn tập thể trường học</t>
  </si>
  <si>
    <t>Kinh phí hỗ trợ thêm đảm bảo các hoạt động UBND huyện</t>
  </si>
  <si>
    <t>Kinh phí ủy viên Ban Thường vụ Huyện ủy thực hiện các hoạt động công tác xã hội</t>
  </si>
  <si>
    <t>Hỗ trợ kinh phí (vốn sự nghiệp) đối ứng Chương trình mục tiêu quốc gia Nông thôn mới theo quy định Nghị quyết của Hội đồng nhân dân tỉnh (Giao UBND xã Măng Ri thực hiện)</t>
  </si>
  <si>
    <t>Toà án huyện</t>
  </si>
  <si>
    <t xml:space="preserve">Hỗ trợ kinh phí xét xử lưu động </t>
  </si>
  <si>
    <t>Tổng kết công tác Hội thẩm nhân dân</t>
  </si>
  <si>
    <t>Kinh phí hoạt động Thường trực Huyện ủy</t>
  </si>
  <si>
    <t>Kinh phí thực hiện quy chế dân chủ</t>
  </si>
  <si>
    <t xml:space="preserve">Kinh phí triển khai công tác Dân vận khéo </t>
  </si>
  <si>
    <t>Kinh phí ngày Hội học sinh, sinh viên</t>
  </si>
  <si>
    <t xml:space="preserve">Kinh phí thực hiện các hoạt động Tháng thanh niên </t>
  </si>
  <si>
    <t>BẢNG CÂN ĐỐI DỰ TOÁN THU CHI NGÂN SÁCH NHÀ NƯỚC NĂM 2025</t>
  </si>
  <si>
    <t>TỔNG HỢP DỰ TOÁN CHI NGÂN SÁCH ĐỊA PHƯƠNG NĂM 2025</t>
  </si>
  <si>
    <t>DỰ TOÁN CHI THƯỜNG XUYÊN NGÂN SÁCH HUYỆN NĂM 2025</t>
  </si>
  <si>
    <t>DỰ TOÁN THU NGÂN SÁCH NHÀ NƯỚC NĂM 2025</t>
  </si>
  <si>
    <t>DỰ TOÁN CHI  NGÂN SÁCH CẤP XÃ NĂM 2025</t>
  </si>
  <si>
    <t>DỰ TOÁN CHI NGUỒN BỔ SUNG CÓ MỤC TIÊU NĂM 2025</t>
  </si>
  <si>
    <t>Do cơ quan trung ương thu</t>
  </si>
  <si>
    <t>Do cơ quan địa phương thu</t>
  </si>
  <si>
    <t>Kinh phí hỗ trợ hộ nghèo ăn Tết Ất Tỵ năm 2025 (Giao UBMTTQVN huyện thực hiện)</t>
  </si>
  <si>
    <t>Hỗ trợ kinh phí thực hiện đề án bảo đảm cơ sở vật chất cho chương trình giáo dục mầm non và giáo dục phổ thông trên địa bàn tỉnh Kon Tum giai đoạn 2021-2025; Đề án nâng cao chất lượng giáo dục đối với học sinh dân tộc thiểu số tính đến năm 2025, định hướng đến năm 2030 (Giao Phòng Giáo dục - Đào tạo thực hiện)</t>
  </si>
  <si>
    <t>Kinh phí thực hiện chế độ, chính sách cho lực lượng bảo vệ an ninh trật tự ở cơ sở (Giao UBND các xã thực hiện-Chi tiết Biểu số 05)</t>
  </si>
  <si>
    <t>BHYT đối tượng BTXH</t>
  </si>
  <si>
    <t>Kinh phí trợ giúp xã hội đối với đối tượng bảo trợ xã hội theo Nghị định số 20/2021/NĐ-CP ngày 15 tháng 3 năm 2021 của Chính phủ</t>
  </si>
  <si>
    <t>KP thực hiện hỗ trợ tiền điện hộ nghèo, hộ chính sách xã hội</t>
  </si>
  <si>
    <t>Kinh phí hỗ trợ địa phương sản xuất lúa</t>
  </si>
  <si>
    <t>Kinh phí hỗ trợ địa phương sản xuất lúa (Giao UBND các xã thực hiện-Chi tiết Biểu số 05)</t>
  </si>
  <si>
    <t>Kinh phí thực hiện Nghị định số 33/2023/NĐ-CP của Chính phủ</t>
  </si>
  <si>
    <t>Lương cán bộ chuyên trách công chức xã (theo mức lương cơ sở 2,34 triệu đồng)</t>
  </si>
  <si>
    <t>Đối ứng thực hiện CT MTQG Giảm nghèo bền vững năm 2025 (đối ứng vốn sự nghiệp)</t>
  </si>
  <si>
    <t>Đối ứng thực hiện CT MTQG phát triển kinh tế xã hội vùng đồng bào DTTS và miền núi năm 2025 (đối ứng vốn đầu tư)</t>
  </si>
  <si>
    <t>2.5</t>
  </si>
  <si>
    <t>2.6</t>
  </si>
  <si>
    <t>2.7</t>
  </si>
  <si>
    <t xml:space="preserve">Kinh phí trang bị cho lực lượng tham gia bảo vệ an ninh, trật tự ở cơ sở </t>
  </si>
  <si>
    <t>Kinh phi chi Quốc phòng (phụ cấp thôn đội trưởng, phụ cấp thâm niên nghề, phụ cấp đặc thù,…)</t>
  </si>
  <si>
    <t>Kinh phi hỗ trợ đất trồng lúa</t>
  </si>
  <si>
    <t>Kinh phí sự nghiệp giao thông (nạo vét, sửa chữa nhỏ các tuyến đường trên địa bàn quản lý,…)</t>
  </si>
  <si>
    <t>Dự toán chi  lương, các khoản phụ cấp theo mức lương cơ sở tăng thêm 0,54 trđ</t>
  </si>
  <si>
    <t>Dự toán chi  lương, các khoản phụ cấp theo mức lương 2,34 trđ</t>
  </si>
  <si>
    <t>2e</t>
  </si>
  <si>
    <t>2f</t>
  </si>
  <si>
    <t>Trường TH - THCS Đăk Tờ Kan</t>
  </si>
  <si>
    <t>Kinh phí thực hiện chế độ, chính sách cho lực lượng bảo vệ an ninh trật tự ở cơ sở</t>
  </si>
  <si>
    <t>Tỉnh phân</t>
  </si>
  <si>
    <t>Nhu cầu thực</t>
  </si>
  <si>
    <t>Thiếu</t>
  </si>
  <si>
    <t>Thừa</t>
  </si>
  <si>
    <t>Sự nghiệp đào tạo</t>
  </si>
  <si>
    <t>Sự nghiệp giáo dục</t>
  </si>
  <si>
    <t>Bổ sung tiền lương lên 1.800</t>
  </si>
  <si>
    <t>Bổ sung tiền lương lên 2.340</t>
  </si>
  <si>
    <t xml:space="preserve"> Chi thường xuyên các lĩnh vực nghiệp khác theo lương 1.490</t>
  </si>
  <si>
    <t>Chia 06 trường: Trường PTDTBT TH - THCS Đăk Na; Trường THCS Bán Trú DTTS Tu Mơ Rông; Trường PTDTBT TH-THCS Đăk Sao; Trường TH-THCS Đăk Rơ Ông; Trường TH - THCS Đăk Tờ Kan; Trường TH Đăk Hà</t>
  </si>
  <si>
    <t>Quỹ trợ cấp tăng thêm đối với cán bộ xã nghỉ việc hưởng trợ cấp hàng tháng theo NĐ 42/2023/NĐ-CP</t>
  </si>
  <si>
    <t>Quỹ trợ cấp tăng thêm đối với cán bộ xã nghỉ việc hưởng trợ cấp hàng tháng theo NĐ 75/2024/NĐ-CP</t>
  </si>
  <si>
    <t>Kinh phí CCTL tập trung ngân sách huyện</t>
  </si>
  <si>
    <t>8 trường dưới 30 +150</t>
  </si>
  <si>
    <t>VII</t>
  </si>
  <si>
    <t>2=2a+2e+2f</t>
  </si>
  <si>
    <t>2a=2b+2c+2d</t>
  </si>
  <si>
    <t>Kinh phí Quy hoạch chung xây dựng xã</t>
  </si>
  <si>
    <t xml:space="preserve"> Dự toán chi thường xuyên ngân sách theo mức lương cơ sở 2,34 triệu đồng</t>
  </si>
  <si>
    <t>Kinh phí hỗ trợ các hoạt động quản lý, bảo vệ khu Căn cứ Tỉnh ủy tại xã Măng Ri</t>
  </si>
  <si>
    <t>Kinh phí hỗ trợ công tác khảo sát, tổng hợp báo cáo kiểm toán</t>
  </si>
  <si>
    <t>Tổng DT
năm 2025</t>
  </si>
  <si>
    <t>Kinh phí hỗ trợ thực hiện công tác kiểm tra chất lượng hàng hóa, kiểm tra an toàn hành lang đường bộ, kiểm tra các công trình xây dựng trên địa bàn huyện</t>
  </si>
  <si>
    <t>Kinh phí hỗ trợ khảo sát, xây dựng điểm du lịch</t>
  </si>
  <si>
    <t>Kinh phí Biên tập lịch sử Đảng bộ xã</t>
  </si>
  <si>
    <t>Chi chế độ hội nghị, hội thảo</t>
  </si>
  <si>
    <t>Kinh phí soạn thảo, thẩm định văn bản</t>
  </si>
  <si>
    <t>Kinh phí chi cho các đoàn kiểm tra, giám sát</t>
  </si>
  <si>
    <t>Chi công tác xã hội (thăm hỏi, tặng quà cán bộ lão thành, người có công với nước, Bà mẹ VNAH..., Thăm hỏi, tặng quà, gặp mặt già làng, thôn trưởng năm 2024)</t>
  </si>
  <si>
    <t>Chế độ khác (Chi may trang phục, Kinh phí bồi dưỡng hoạt động cấp ủy, Chế độ tặng quà lưu niệm)</t>
  </si>
  <si>
    <t>Kinh phí tổ chức các hoạt động Văn hóa (Hội thi Ẩm thực,...)</t>
  </si>
  <si>
    <t>Quỹ tiền thưởng hằng năm theo Nghị định 73/2024/NĐ-CP</t>
  </si>
  <si>
    <t xml:space="preserve">Kinh phí hỗ trợ mô hình trồng dứa xen canh rừng mới trồng </t>
  </si>
  <si>
    <t>Bố trí đủ 03 xã</t>
  </si>
  <si>
    <t>Sự nghiệp giao thông (giao Phòng Kinh tế và Hạ tầng)</t>
  </si>
  <si>
    <t>Kinh phí mua sắm trang thiết bị hệ thống âm thanh phục vụ Đại hội Đảng các cấp nhiệm kỳ 2025-2030 và các Sự kiện của Huyện</t>
  </si>
  <si>
    <t>Kinh phí cho công tác quản lý nghĩa trang liệt sỹ huyện (bao gồm tiền công bảo vệ, chăm sóc vườn hoa, cây cảnh, dọn dẹp khuôn viên…)</t>
  </si>
  <si>
    <t>Kinh phí hỗ trợ thôn thôn Ba Khen xã Văn Xuôi thực hiện các mô hình phát triển kinh tế nâng cao thu nhập cho người dân</t>
  </si>
  <si>
    <t>Kinh phí mua sắm máy móc, thiết bị phục vụ chuyển đổi số ứng dụng công nghệ thông tin trên địa bàn huyện (Thực hiện Nghị quyết số 09-NQ/TU ngày 18 tháng 02 năm 2022 của Ban Thường vụ Tỉnh ủy "ưu tiên tối thiểu 01% tổng chi thường xuyên ngân sách các cấp")</t>
  </si>
  <si>
    <t>Kinh phí thực hiện nhiệm vụ cải tạo và trồng mới cây xanh trên địa bàn; Kinh phí trang trí, trồng hoa, cây xanh phục vụ tết nguyên đán; Kỉ niệm 20 năm ngày thành lập Huyện tại khu trung tâm huyện (Giao Trung tâm Môi trường và Dịch vụ đô thị huyện Tu Mơ Rông)</t>
  </si>
  <si>
    <t>Kinh phí tổ chức các hoạt động chào mừng Đại hội Đảng các cấp nhiệm kỳ 2025-2030; Kỉ niệm 20 năm ngày thành lập Huyện</t>
  </si>
  <si>
    <t>Quỹ tiền thưởng hằng năm theo Nghị định 73/2024/NĐ-CP (phân cho các Ban)</t>
  </si>
  <si>
    <t>Kinh phí xử lý đơn thư, khiếu nại, tố cáo (Ủy ban Kiểm tra Huyện ủy)</t>
  </si>
  <si>
    <t xml:space="preserve">Kinh phí gian hàng trưng bày sản phẩm địa phương, sản phẩm OCOP </t>
  </si>
  <si>
    <t>Kinh phí thực hiện Đề án chuyển giao các Trung tâm Y tế huyện, thành phố do Sở Y tế quản lý về cho các huyện, thành phố quản lý</t>
  </si>
  <si>
    <t>Bao gồm:</t>
  </si>
  <si>
    <t>Dự toán chi theo lương 1.490.000 đồng</t>
  </si>
  <si>
    <t>Trong đó, kinh phí mua sắm trang thiết bị ngành y tế</t>
  </si>
  <si>
    <t>Kinh phí thực hiện cải cách tiền lương từ mức lương cơ sở 1.490.000 đồng lên 2.340.000 đồng</t>
  </si>
  <si>
    <t>Quỹ tiền thưởng theo quy định tại Nghị định số 73/2024/NĐ-CP ngày 30/6/2024 của Chính phủ (2)</t>
  </si>
  <si>
    <t>50% phần ngân sách nhà nước giảm chi hỗ trợ hoạt động thường xuyên các đơn vị sự nghiệp công lập bổ sung nguồn thực hiện cải cách tiền lương (3)</t>
  </si>
  <si>
    <t>2.8</t>
  </si>
  <si>
    <t>Kinh phí thực hiện Đề án chuyển giao các Trung tâm Y tế huyện, thành phố do Sở Y tế quản lý về cho các huyện, thành phố quản lý (Giao Trung tâm Y tế)</t>
  </si>
  <si>
    <t>Kinh phí tổ chức các Phiên chợ và Fastival Sâm trong năm và tham gia các phiên chợ, hội chợ trong và ngoài tỉnh</t>
  </si>
  <si>
    <t xml:space="preserve">Kinh phí chi cho công tác thi đua, khen thưởng Giáo dục - Đào tạo </t>
  </si>
  <si>
    <t xml:space="preserve">Kinh phí thực hiện các chính sách an sinh xã hội </t>
  </si>
  <si>
    <t>Kinh phí trợ giúp xã hội đối với đối tượng bảo trợ xã hội theo Nghị định số 20/2021/NĐ-CP ngày 15 tháng 3 năm 2021 của Chính phủ (Phòng LĐ-TB&amp;XH huyện)</t>
  </si>
  <si>
    <t>BHYT đối tượng BTXH (Phòng LĐ-TB&amp;XH huyện)</t>
  </si>
  <si>
    <t>Kinh phí thực hiện chính sách phát triển giáo dục mầm non theo Nghị định số 105/2020/NĐ-CP ngày 08 tháng 9 năm 2020 của Chính phủ (Quản lý tập trung phân bổ khi đủ điều kiện)</t>
  </si>
  <si>
    <t>Kinh phí hỗ trợ học bổng, chi phí học tập cho học sinh khuyết tật theo Thông tư liên tịch số 42/2013/TTLT-BGDĐT-BLĐTBXH-BTC ngày 31 tháng 12 năm 2013 (Quản lý tập trung phân bổ khi đủ điều kiện)</t>
  </si>
  <si>
    <t>Kinh phí hỗ trợ học sinh và Trường phổ thông xã, thôn đặc biệt khó khăn theo Nghị định số 116/2016/NĐ-CP ngày 18 tháng 07 năm 2016 của Chính phủ (Quản lý tập trung phân bổ khi đủ điều kiện)</t>
  </si>
  <si>
    <t>Chính sách hỗ trợ chi phí học tập và miễn giảm học phí theo quy định tại Nghị định số 81/2022/NĐ-CP ngày 27/08/2021 của Chính phủ (Theo Quyết định phê duyệt của UBND tỉnh) (Quản lý tập trung phân bổ khi đủ điều kiện)</t>
  </si>
  <si>
    <t>Trong đó: Kinh phí thực hiện theo Nghị quyết 81/2021/NQ-HĐND, ngày 14/12/2021 của HĐND tỉnh</t>
  </si>
  <si>
    <t>(Kèm theo Nghị quyết số .../NQ-HĐND ngày ... tháng ... năm 2024 của HĐND huyện Tu Mơ Rông)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</si>
</sst>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0">
    <numFmt numFmtId="41" formatCode="_-* #,##0_-;\-* #,##0_-;_-* &quot;-&quot;_-;_-@_-"/>
    <numFmt numFmtId="43" formatCode="_-* #,##0.00_-;\-* #,##0.00_-;_-* &quot;-&quot;??_-;_-@_-"/>
    <numFmt numFmtId="164" formatCode="&quot;$&quot;#,##0_);[Red]\(&quot;$&quot;#,##0\)"/>
    <numFmt numFmtId="165" formatCode="_(* #,##0_);_(* \(#,##0\);_(* &quot;-&quot;_);_(@_)"/>
    <numFmt numFmtId="166" formatCode="_(&quot;$&quot;* #,##0.00_);_(&quot;$&quot;* \(#,##0.00\);_(&quot;$&quot;* &quot;-&quot;??_);_(@_)"/>
    <numFmt numFmtId="167" formatCode="_(* #,##0.00_);_(* \(#,##0.00\);_(* &quot;-&quot;??_);_(@_)"/>
    <numFmt numFmtId="168" formatCode="_-* #,##0.00\ _₫_-;\-* #,##0.00\ _₫_-;_-* &quot;-&quot;??\ _₫_-;_-@_-"/>
    <numFmt numFmtId="169" formatCode="_(* #,##0_);_(* \(#,##0\);_(* &quot;-&quot;??_);_(@_)"/>
    <numFmt numFmtId="170" formatCode="_(* #,##0.0_);_(* \(#,##0.0\);_(* &quot;-&quot;??_);_(@_)"/>
    <numFmt numFmtId="171" formatCode="#,##0.0"/>
    <numFmt numFmtId="172" formatCode="#,##0.000"/>
    <numFmt numFmtId="173" formatCode="_(* #,##0.0000_);_(* \(#,##0.0000\);_(* &quot;-&quot;??_);_(@_)"/>
    <numFmt numFmtId="174" formatCode="_(* #,##0.000_);_(* \(#,##0.000\);_(* &quot;-&quot;??_);_(@_)"/>
    <numFmt numFmtId="175" formatCode="0.000"/>
    <numFmt numFmtId="176" formatCode="0.0"/>
    <numFmt numFmtId="177" formatCode="_(* #,##0.000_);_(* \(#,##0.000\);_(* &quot;-&quot;???_);_(@_)"/>
    <numFmt numFmtId="178" formatCode="00"/>
    <numFmt numFmtId="179" formatCode="00.00"/>
    <numFmt numFmtId="180" formatCode="_-* #,##0.00\ _€_-;\-* #,##0.00\ _€_-;_-* &quot;-&quot;??\ _€_-;_-@_-"/>
    <numFmt numFmtId="181" formatCode="_-* #,##0.000\ _₫_-;\-* #,##0.000\ _₫_-;_-* &quot;-&quot;???\ _₫_-;_-@_-"/>
    <numFmt numFmtId="182" formatCode="_(* #,##0.00_);_(* \(#,##0.00\);_(* \-??_);_(@_)"/>
    <numFmt numFmtId="183" formatCode="0.00000"/>
    <numFmt numFmtId="184" formatCode="&quot;£&quot;#,##0;[Red]\-&quot;£&quot;#,##0"/>
    <numFmt numFmtId="185" formatCode="_-&quot;£&quot;* #,##0_-;\-&quot;£&quot;* #,##0_-;_-&quot;£&quot;* &quot;-&quot;_-;_-@_-"/>
    <numFmt numFmtId="186" formatCode="#,##0&quot;$&quot;_);\(#,##0&quot;$&quot;\)"/>
    <numFmt numFmtId="187" formatCode="#,##0&quot;$&quot;_);[Red]\(#,##0&quot;$&quot;\)"/>
    <numFmt numFmtId="188" formatCode="#,##0.00&quot;$&quot;_);[Red]\(#,##0.00&quot;$&quot;\)"/>
    <numFmt numFmtId="189" formatCode="_ * #,##0_)&quot;$&quot;_ ;_ * \(#,##0\)&quot;$&quot;_ ;_ * &quot;-&quot;_)&quot;$&quot;_ ;_ @_ "/>
    <numFmt numFmtId="190" formatCode="_ * #,##0.00_)&quot;$&quot;_ ;_ * \(#,##0.00\)&quot;$&quot;_ ;_ * &quot;-&quot;??_)&quot;$&quot;_ ;_ @_ "/>
    <numFmt numFmtId="191" formatCode="0.000000"/>
    <numFmt numFmtId="192" formatCode="\$#,##0\ ;\(\$#,##0\)"/>
    <numFmt numFmtId="193" formatCode="&quot;\&quot;#,##0;[Red]&quot;\&quot;&quot;\&quot;\-#,##0"/>
    <numFmt numFmtId="194" formatCode="&quot;\&quot;#,##0.00;[Red]&quot;\&quot;&quot;\&quot;&quot;\&quot;&quot;\&quot;&quot;\&quot;&quot;\&quot;\-#,##0.00"/>
    <numFmt numFmtId="195" formatCode="&quot;\&quot;#,##0.00;[Red]&quot;\&quot;\-#,##0.00"/>
    <numFmt numFmtId="196" formatCode="0.00_)"/>
    <numFmt numFmtId="197" formatCode="_-&quot;$&quot;* #,##0_-;\-&quot;$&quot;* #,##0_-;_-&quot;$&quot;* &quot;-&quot;_-;_-@_-"/>
    <numFmt numFmtId="198" formatCode="_-&quot;$&quot;* #,##0.00_-;\-&quot;$&quot;* #,##0.00_-;_-&quot;$&quot;* &quot;-&quot;??_-;_-@_-"/>
    <numFmt numFmtId="199" formatCode="&quot;\&quot;#,##0;[Red]&quot;\&quot;\-#,##0"/>
    <numFmt numFmtId="200" formatCode="&quot;$&quot;#,##0;[Red]\-&quot;$&quot;#,##0"/>
    <numFmt numFmtId="201" formatCode="\t0.00%"/>
    <numFmt numFmtId="202" formatCode="\t#\ ??/??"/>
    <numFmt numFmtId="203" formatCode="#,##0;\(#,##0\)"/>
    <numFmt numFmtId="204" formatCode="#,##0\ &quot;F&quot;;[Red]\-#,##0\ &quot;F&quot;"/>
    <numFmt numFmtId="205" formatCode="#,##0.00\ &quot;F&quot;;\-#,##0.00\ &quot;F&quot;"/>
    <numFmt numFmtId="206" formatCode="#,##0.00\ &quot;F&quot;;[Red]\-#,##0.00\ &quot;F&quot;"/>
    <numFmt numFmtId="207" formatCode="_-* #,##0\ &quot;F&quot;_-;\-* #,##0\ &quot;F&quot;_-;_-* &quot;-&quot;\ &quot;F&quot;_-;_-@_-"/>
    <numFmt numFmtId="208" formatCode="_ * #,##0_ ;_ * \-#,##0_ ;_ * &quot;-&quot;_ ;_ @_ "/>
    <numFmt numFmtId="209" formatCode="_ * #,##0.00_ ;_ * \-#,##0.00_ ;_ * &quot;-&quot;??_ ;_ @_ "/>
    <numFmt numFmtId="210" formatCode="0.000E+00"/>
    <numFmt numFmtId="211" formatCode="#,##0.000_);\(#,##0.000\)"/>
    <numFmt numFmtId="212" formatCode="m\o\n\th\ \D\,\ \y\y\y\y"/>
    <numFmt numFmtId="213" formatCode="_-* #,##0.00\ &quot;F&quot;_-;\-* #,##0.00\ &quot;F&quot;_-;_-* &quot;-&quot;??\ &quot;F&quot;_-;_-@_-"/>
    <numFmt numFmtId="214" formatCode="mm/dd_)"/>
    <numFmt numFmtId="215" formatCode="0.000000_)"/>
    <numFmt numFmtId="216" formatCode="_(&quot;.&quot;* #&quot;$&quot;##0_);_(&quot;.&quot;* \(#&quot;$&quot;##0\);_(&quot;.&quot;* &quot;-&quot;_);_(@_)"/>
    <numFmt numFmtId="217" formatCode="&quot;$&quot;#&quot;$&quot;##0_);\(&quot;$&quot;#&quot;$&quot;##0\)"/>
    <numFmt numFmtId="218" formatCode="&quot;$&quot;#&quot;$&quot;##0_);[Red]\(&quot;$&quot;#&quot;$&quot;##0\)"/>
    <numFmt numFmtId="219" formatCode="_-&quot;F&quot;\ * #,##0.0_-;_-&quot;F&quot;\ * #,##0.0\-;_-&quot;F&quot;\ * &quot;-&quot;??_-;_-@_-"/>
    <numFmt numFmtId="220" formatCode="###0"/>
    <numFmt numFmtId="221" formatCode="&quot;$&quot;#,##0.000_);[Red]\(&quot;$&quot;#,##0.00\)"/>
    <numFmt numFmtId="222" formatCode="&quot;¡Ì&quot;#,##0;[Red]\-&quot;¡Ì&quot;#,##0"/>
    <numFmt numFmtId="223" formatCode="#"/>
    <numFmt numFmtId="224" formatCode="_ &quot;R&quot;\ * #,##0_ ;_ &quot;R&quot;\ * \-#,##0_ ;_ &quot;R&quot;\ * &quot;-&quot;_ ;_ @_ "/>
    <numFmt numFmtId="225" formatCode="#,##0.0_);\(#,##0.0\)"/>
    <numFmt numFmtId="226" formatCode="###\ ###\ ###\ ###\ .00"/>
    <numFmt numFmtId="227" formatCode="dd\-mm\-yy"/>
    <numFmt numFmtId="228" formatCode="###\ ###\ ###.000"/>
    <numFmt numFmtId="229" formatCode="#,##0\ &quot;F&quot;;\-#,##0\ &quot;F&quot;"/>
    <numFmt numFmtId="230" formatCode="_-* #,##0.000\ _F_-;\-* #,##0.000\ _F_-;_-* &quot;-&quot;???\ _F_-;_-@_-"/>
    <numFmt numFmtId="231" formatCode="#,##0\ &quot;$&quot;_);[Red]\(#,##0\ &quot;$&quot;\)"/>
    <numFmt numFmtId="232" formatCode="&quot;$&quot;###,0&quot;.&quot;00_);[Red]\(&quot;$&quot;###,0&quot;.&quot;00\)"/>
    <numFmt numFmtId="233" formatCode="_-* #,##0\ _V_N_D_-;\-* #,##0\ _V_N_D_-;_-* &quot;-&quot;\ _V_N_D_-;_-@_-"/>
    <numFmt numFmtId="234" formatCode="_-* #,##0.00\ _V_N_D_-;\-* #,##0.00\ _V_N_D_-;_-* &quot;-&quot;??\ _V_N_D_-;_-@_-"/>
    <numFmt numFmtId="235" formatCode="&quot;SFr.&quot;\ #,##0.00;[Red]&quot;SFr.&quot;\ \-#,##0.00"/>
    <numFmt numFmtId="236" formatCode="_ &quot;SFr.&quot;\ * #,##0_ ;_ &quot;SFr.&quot;\ * \-#,##0_ ;_ &quot;SFr.&quot;\ * &quot;-&quot;_ ;_ @_ "/>
    <numFmt numFmtId="237" formatCode="_-* #,##0\ _F_B_-;\-* #,##0\ _F_B_-;_-* &quot;-&quot;\ _F_B_-;_-@_-"/>
    <numFmt numFmtId="238" formatCode="_-* #,##0.00\ _F_B_-;\-* #,##0.00\ _F_B_-;_-* &quot;-&quot;??\ _F_B_-;_-@_-"/>
    <numFmt numFmtId="239" formatCode="_ &quot;$&quot;* #,##0_ ;_ &quot;$&quot;* \-#,##0_ ;_ &quot;$&quot;* &quot;-&quot;_ ;_ @_ "/>
    <numFmt numFmtId="240" formatCode="_-* #,##0\ &quot;þ&quot;_-;\-* #,##0\ &quot;þ&quot;_-;_-* &quot;-&quot;\ &quot;þ&quot;_-;_-@_-"/>
    <numFmt numFmtId="241" formatCode="_-* #,##0.00_k_r_._-;\-* #,##0.00_k_r_._-;_-* &quot;-&quot;??_k_r_._-;_-@_-"/>
    <numFmt numFmtId="242" formatCode="_-* #,##0_k_r_._-;\-* #,##0_k_r_._-;_-* &quot;-&quot;??_k_r_._-;_-@_-"/>
    <numFmt numFmtId="243" formatCode="_-* #,##0.000_k_r_._-;\-* #,##0.000_k_r_._-;_-* &quot;-&quot;??_k_r_._-;_-@_-"/>
    <numFmt numFmtId="244" formatCode="#,##0;[Red]#,##0"/>
    <numFmt numFmtId="245" formatCode="_-* #,##0.0_k_r_._-;\-* #,##0.0_k_r_._-;_-* &quot;-&quot;??_k_r_._-;_-@_-"/>
    <numFmt numFmtId="246" formatCode="#,###&quot;  &quot;"/>
    <numFmt numFmtId="247" formatCode="_(* #,##0.000000_);_(* \(#,##0.000000\);_(* &quot;-&quot;??_);_(@_)"/>
    <numFmt numFmtId="248" formatCode="_-* #,##0.0\ _₫_-;\-* #,##0.0\ _₫_-;_-* &quot;-&quot;?\ _₫_-;_-@_-"/>
    <numFmt numFmtId="249" formatCode="_-* #,##0.0000\ _₫_-;\-* #,##0.0000\ _₫_-;_-* &quot;-&quot;???\ _₫_-;_-@_-"/>
    <numFmt numFmtId="250" formatCode="_-* #,##0.00000\ _₫_-;\-* #,##0.00000\ _₫_-;_-* &quot;-&quot;???\ _₫_-;_-@_-"/>
    <numFmt numFmtId="251" formatCode="_-* #,##0.000000\ _₫_-;\-* #,##0.000000\ _₫_-;_-* &quot;-&quot;??????\ _₫_-;_-@_-"/>
  </numFmts>
  <fonts count="137">
    <font>
      <sz val="13"/>
      <name val="Arial"/>
    </font>
    <font>
      <sz val="13"/>
      <name val="Arial"/>
      <family val="2"/>
    </font>
    <font>
      <sz val="10"/>
      <name val="Arial"/>
      <family val="2"/>
    </font>
    <font>
      <b/>
      <sz val="12"/>
      <name val="Times New Roman"/>
      <family val="1"/>
    </font>
    <font>
      <i/>
      <sz val="12"/>
      <name val="Times New Roman"/>
      <family val="1"/>
    </font>
    <font>
      <b/>
      <sz val="11"/>
      <name val="Times New Roman"/>
      <family val="1"/>
    </font>
    <font>
      <sz val="8"/>
      <name val="Arial"/>
      <family val="2"/>
    </font>
    <font>
      <sz val="11"/>
      <color indexed="8"/>
      <name val="Calibri"/>
      <family val="2"/>
    </font>
    <font>
      <sz val="11"/>
      <color indexed="9"/>
      <name val="Calibri"/>
      <family val="2"/>
    </font>
    <font>
      <sz val="10"/>
      <name val="Arial"/>
      <family val="2"/>
    </font>
    <font>
      <b/>
      <sz val="10"/>
      <name val="MS Sans Serif"/>
      <family val="2"/>
    </font>
    <font>
      <sz val="10"/>
      <color indexed="8"/>
      <name val="Arial"/>
      <family val="2"/>
    </font>
    <font>
      <i/>
      <sz val="13"/>
      <name val="Times New Roman"/>
      <family val="1"/>
    </font>
    <font>
      <sz val="12"/>
      <name val="Times New Roman"/>
      <family val="1"/>
    </font>
    <font>
      <sz val="12"/>
      <name val=".VnTime"/>
      <family val="2"/>
    </font>
    <font>
      <b/>
      <sz val="14"/>
      <name val="Times New Roman"/>
      <family val="1"/>
    </font>
    <font>
      <sz val="14"/>
      <name val="Times New Roman"/>
      <family val="1"/>
    </font>
    <font>
      <i/>
      <sz val="14"/>
      <name val="Times New Roman"/>
      <family val="1"/>
    </font>
    <font>
      <b/>
      <i/>
      <sz val="12"/>
      <name val="Times New Roman"/>
      <family val="1"/>
    </font>
    <font>
      <i/>
      <sz val="10"/>
      <name val="Times New Roman"/>
      <family val="1"/>
    </font>
    <font>
      <sz val="8"/>
      <name val="Arial"/>
      <family val="2"/>
    </font>
    <font>
      <sz val="12"/>
      <name val=".VnArial Narrow"/>
      <family val="2"/>
    </font>
    <font>
      <sz val="10"/>
      <name val="Times New Roman"/>
      <family val="1"/>
    </font>
    <font>
      <sz val="11"/>
      <name val="Times New Roman"/>
      <family val="1"/>
    </font>
    <font>
      <b/>
      <sz val="10"/>
      <name val="Times New Roman"/>
      <family val="1"/>
    </font>
    <font>
      <sz val="12"/>
      <name val="Arial"/>
      <family val="2"/>
    </font>
    <font>
      <b/>
      <sz val="12"/>
      <name val="Arial"/>
      <family val="2"/>
    </font>
    <font>
      <i/>
      <sz val="11"/>
      <name val="Times New Roman"/>
      <family val="1"/>
    </font>
    <font>
      <b/>
      <i/>
      <sz val="11"/>
      <name val="Times New Roman"/>
      <family val="1"/>
    </font>
    <font>
      <b/>
      <sz val="9"/>
      <color indexed="81"/>
      <name val="Tahoma"/>
      <family val="2"/>
    </font>
    <font>
      <sz val="9"/>
      <color indexed="81"/>
      <name val="Tahoma"/>
      <family val="2"/>
    </font>
    <font>
      <sz val="8.25"/>
      <name val="Microsoft Sans Serif"/>
      <family val="2"/>
    </font>
    <font>
      <sz val="14"/>
      <name val=".VnTime"/>
      <family val="2"/>
    </font>
    <font>
      <sz val="8"/>
      <name val="Times New Roman"/>
      <family val="1"/>
    </font>
    <font>
      <sz val="10"/>
      <name val="MS Sans Serif"/>
      <family val="2"/>
    </font>
    <font>
      <sz val="9"/>
      <name val=".VnTime"/>
      <family val="2"/>
    </font>
    <font>
      <sz val="10"/>
      <name val=".VnTime"/>
      <family val="2"/>
    </font>
    <font>
      <sz val="12"/>
      <name val=".VnArial Narrow"/>
      <family val="2"/>
    </font>
    <font>
      <sz val="11"/>
      <name val=".VnTime"/>
      <family val="2"/>
    </font>
    <font>
      <b/>
      <sz val="18"/>
      <name val="Arial"/>
      <family val="2"/>
    </font>
    <font>
      <b/>
      <sz val="14"/>
      <name val=".VnTimeH"/>
      <family val="2"/>
    </font>
    <font>
      <b/>
      <sz val="10"/>
      <name val=".VnTime"/>
      <family val="2"/>
    </font>
    <font>
      <sz val="12"/>
      <name val="¹UAAA¼"/>
      <family val="3"/>
      <charset val="129"/>
    </font>
    <font>
      <b/>
      <i/>
      <sz val="16"/>
      <name val="Helv"/>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b/>
      <sz val="12"/>
      <name val=".VnTime"/>
      <family val="2"/>
    </font>
    <font>
      <sz val="12"/>
      <name val="돋움체"/>
      <family val="3"/>
      <charset val="129"/>
    </font>
    <font>
      <sz val="10"/>
      <name val="AngsanaUPC"/>
      <family val="1"/>
    </font>
    <font>
      <sz val="12"/>
      <name val="????"/>
      <family val="1"/>
      <charset val="136"/>
    </font>
    <font>
      <sz val="10"/>
      <name val="VNI-Times"/>
    </font>
    <font>
      <sz val="12"/>
      <name val="VNI-Times"/>
    </font>
    <font>
      <sz val="12"/>
      <name val=".VnArial"/>
      <family val="2"/>
    </font>
    <font>
      <sz val="11"/>
      <name val="–¾’©"/>
      <family val="1"/>
      <charset val="128"/>
    </font>
    <font>
      <b/>
      <u/>
      <sz val="14"/>
      <color indexed="8"/>
      <name val=".VnBook-AntiquaH"/>
      <family val="2"/>
    </font>
    <font>
      <b/>
      <sz val="10"/>
      <name val=".VnArial"/>
      <family val="2"/>
    </font>
    <font>
      <sz val="12"/>
      <name val="???"/>
      <family val="3"/>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2"/>
      <name val="¹ÙÅÁÃ¼"/>
      <charset val="129"/>
    </font>
    <font>
      <sz val="12"/>
      <name val="Tms Rmn"/>
    </font>
    <font>
      <sz val="11"/>
      <name val="µ¸¿ò"/>
    </font>
    <font>
      <sz val="10"/>
      <name val="Helv"/>
    </font>
    <font>
      <b/>
      <sz val="10"/>
      <name val="Helv"/>
    </font>
    <font>
      <sz val="10"/>
      <name val="MS Serif"/>
      <family val="1"/>
    </font>
    <font>
      <sz val="13"/>
      <name val=".VnTime"/>
      <family val="2"/>
    </font>
    <font>
      <sz val="1"/>
      <color indexed="8"/>
      <name val="Courier"/>
      <family val="3"/>
    </font>
    <font>
      <sz val="10"/>
      <color indexed="16"/>
      <name val="MS Serif"/>
      <family val="1"/>
    </font>
    <font>
      <b/>
      <sz val="12"/>
      <name val=".VnBook-AntiquaH"/>
      <family val="2"/>
    </font>
    <font>
      <b/>
      <sz val="12"/>
      <color indexed="9"/>
      <name val="Tms Rmn"/>
    </font>
    <font>
      <b/>
      <sz val="12"/>
      <name val="Helv"/>
    </font>
    <font>
      <b/>
      <sz val="8"/>
      <name val="MS Sans Serif"/>
      <family val="2"/>
    </font>
    <font>
      <sz val="12"/>
      <name val="??"/>
      <family val="1"/>
      <charset val="129"/>
    </font>
    <font>
      <sz val="8"/>
      <color indexed="12"/>
      <name val="Helv"/>
    </font>
    <font>
      <b/>
      <sz val="11"/>
      <name val="Helv"/>
    </font>
    <font>
      <sz val="7"/>
      <name val="Small Fonts"/>
      <family val="2"/>
    </font>
    <font>
      <sz val="10"/>
      <name val="3C_Times_T"/>
    </font>
    <font>
      <b/>
      <sz val="11"/>
      <name val="Arial"/>
      <family val="2"/>
    </font>
    <font>
      <sz val="12"/>
      <name val="Helv"/>
      <family val="2"/>
    </font>
    <font>
      <sz val="8"/>
      <name val="Wingdings"/>
      <charset val="2"/>
    </font>
    <font>
      <sz val="8"/>
      <name val="Helv"/>
    </font>
    <font>
      <sz val="11"/>
      <name val="3C_Times_T"/>
    </font>
    <font>
      <sz val="8"/>
      <name val="MS Sans Serif"/>
      <family val="2"/>
    </font>
    <font>
      <b/>
      <sz val="8"/>
      <color indexed="8"/>
      <name val="Helv"/>
    </font>
    <font>
      <sz val="12"/>
      <name val="VNTime"/>
    </font>
    <font>
      <b/>
      <sz val="13"/>
      <color indexed="8"/>
      <name val=".VnTimeH"/>
      <family val="2"/>
    </font>
    <font>
      <sz val="14"/>
      <name val=".VnArial"/>
      <family val="2"/>
    </font>
    <font>
      <sz val="10"/>
      <name val="명조"/>
      <family val="3"/>
      <charset val="129"/>
    </font>
    <font>
      <sz val="10"/>
      <name val="Helv"/>
      <family val="2"/>
    </font>
    <font>
      <sz val="9"/>
      <name val="ＭＳ 明朝"/>
      <family val="1"/>
      <charset val="128"/>
    </font>
    <font>
      <sz val="10"/>
      <name val="Arial"/>
      <family val="2"/>
      <charset val="163"/>
    </font>
    <font>
      <sz val="12"/>
      <color indexed="8"/>
      <name val="Times New Roman"/>
      <family val="1"/>
    </font>
    <font>
      <sz val="13"/>
      <name val="Arial"/>
      <family val="2"/>
    </font>
    <font>
      <sz val="14"/>
      <name val="Times New Roman"/>
      <family val="1"/>
      <charset val="163"/>
    </font>
    <font>
      <b/>
      <sz val="8"/>
      <name val="Times New Roman"/>
      <family val="1"/>
    </font>
    <font>
      <sz val="11"/>
      <color theme="1"/>
      <name val="Calibri"/>
      <family val="2"/>
      <scheme val="minor"/>
    </font>
    <font>
      <sz val="14"/>
      <color theme="1"/>
      <name val="Times New Roman"/>
      <family val="2"/>
    </font>
    <font>
      <sz val="11"/>
      <color theme="1"/>
      <name val="Calibri"/>
      <family val="2"/>
    </font>
    <font>
      <b/>
      <sz val="14"/>
      <color theme="1"/>
      <name val="Times New Roman"/>
      <family val="1"/>
    </font>
    <font>
      <sz val="14"/>
      <color theme="1"/>
      <name val="Times New Roman"/>
      <family val="1"/>
    </font>
    <font>
      <sz val="11"/>
      <color theme="1"/>
      <name val="Times New Roman"/>
      <family val="1"/>
    </font>
    <font>
      <b/>
      <sz val="12"/>
      <color theme="1"/>
      <name val="Times New Roman"/>
      <family val="1"/>
    </font>
    <font>
      <sz val="12"/>
      <color theme="1"/>
      <name val="Times New Roman"/>
      <family val="1"/>
    </font>
    <font>
      <sz val="12"/>
      <color theme="1"/>
      <name val="Times New Roman"/>
      <family val="1"/>
      <charset val="163"/>
    </font>
    <font>
      <b/>
      <sz val="11"/>
      <color theme="1"/>
      <name val="Times New Roman"/>
      <family val="1"/>
    </font>
    <font>
      <sz val="12"/>
      <color rgb="FF0000CC"/>
      <name val="Times New Roman"/>
      <family val="1"/>
    </font>
    <font>
      <b/>
      <sz val="12"/>
      <color rgb="FF0000CC"/>
      <name val="Times New Roman"/>
      <family val="1"/>
    </font>
    <font>
      <i/>
      <sz val="12"/>
      <color rgb="FF0000CC"/>
      <name val="Times New Roman"/>
      <family val="1"/>
    </font>
    <font>
      <i/>
      <sz val="12"/>
      <color rgb="FF2208C0"/>
      <name val="Times New Roman"/>
      <family val="1"/>
    </font>
    <font>
      <sz val="12"/>
      <color rgb="FF2208C0"/>
      <name val="Times New Roman"/>
      <family val="1"/>
    </font>
    <font>
      <sz val="11"/>
      <color rgb="FF0000CC"/>
      <name val="Times New Roman"/>
      <family val="1"/>
    </font>
    <font>
      <i/>
      <sz val="11"/>
      <color rgb="FF0000CC"/>
      <name val="Times New Roman"/>
      <family val="1"/>
    </font>
    <font>
      <sz val="11"/>
      <color rgb="FF2208C0"/>
      <name val="Times New Roman"/>
      <family val="1"/>
    </font>
    <font>
      <b/>
      <sz val="11"/>
      <color rgb="FF2208C0"/>
      <name val="Times New Roman"/>
      <family val="1"/>
    </font>
    <font>
      <i/>
      <sz val="11"/>
      <color rgb="FF2208C0"/>
      <name val="Times New Roman"/>
      <family val="1"/>
    </font>
    <font>
      <b/>
      <sz val="11"/>
      <color rgb="FF0000CC"/>
      <name val="Times New Roman"/>
      <family val="1"/>
    </font>
    <font>
      <i/>
      <sz val="14"/>
      <color theme="1"/>
      <name val="Times New Roman"/>
      <family val="1"/>
    </font>
    <font>
      <sz val="11"/>
      <color theme="1"/>
      <name val="times new roman"/>
      <family val="2"/>
      <charset val="163"/>
    </font>
    <font>
      <sz val="11"/>
      <color theme="1"/>
      <name val="Calibri"/>
      <family val="2"/>
      <charset val="163"/>
      <scheme val="minor"/>
    </font>
    <font>
      <b/>
      <sz val="12"/>
      <name val="Times New Roman"/>
      <family val="1"/>
      <charset val="163"/>
    </font>
    <font>
      <sz val="12"/>
      <name val="Arial"/>
      <family val="2"/>
      <charset val="163"/>
    </font>
    <font>
      <i/>
      <sz val="12"/>
      <name val="Times New Roman"/>
      <family val="1"/>
      <charset val="163"/>
    </font>
    <font>
      <b/>
      <i/>
      <sz val="12"/>
      <name val="Times New Roman"/>
      <family val="1"/>
      <charset val="163"/>
    </font>
    <font>
      <i/>
      <sz val="12"/>
      <name val="Arial"/>
      <family val="2"/>
      <charset val="163"/>
    </font>
    <font>
      <sz val="12"/>
      <name val="Times New Roman"/>
      <family val="1"/>
      <charset val="163"/>
    </font>
    <font>
      <b/>
      <sz val="12"/>
      <name val="Arial"/>
      <family val="2"/>
      <charset val="163"/>
    </font>
    <font>
      <b/>
      <u/>
      <sz val="10"/>
      <name val="Times New Roman"/>
      <family val="1"/>
    </font>
    <font>
      <sz val="13"/>
      <name val="Times New Roman"/>
      <family val="1"/>
    </font>
    <font>
      <b/>
      <sz val="13"/>
      <name val="Times New Roman"/>
      <family val="1"/>
    </font>
  </fonts>
  <fills count="28">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26"/>
        <bgColor indexed="64"/>
      </patternFill>
    </fill>
    <fill>
      <patternFill patternType="solid">
        <fgColor indexed="26"/>
      </patternFill>
    </fill>
    <fill>
      <patternFill patternType="darkVertical"/>
    </fill>
    <fill>
      <patternFill patternType="gray125">
        <fgColor indexed="35"/>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medium">
        <color indexed="0"/>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59">
    <xf numFmtId="0" fontId="0" fillId="0" borderId="0"/>
    <xf numFmtId="197" fontId="57" fillId="0" borderId="0" applyFont="0" applyFill="0" applyBorder="0" applyAlignment="0" applyProtection="0"/>
    <xf numFmtId="0" fontId="14" fillId="0" borderId="0" applyNumberFormat="0" applyFill="0" applyBorder="0" applyAlignment="0" applyProtection="0"/>
    <xf numFmtId="3" fontId="53" fillId="0" borderId="1"/>
    <xf numFmtId="194" fontId="2" fillId="0" borderId="0" applyFont="0" applyFill="0" applyBorder="0" applyAlignment="0" applyProtection="0"/>
    <xf numFmtId="0" fontId="54" fillId="0" borderId="0" applyFont="0" applyFill="0" applyBorder="0" applyAlignment="0" applyProtection="0"/>
    <xf numFmtId="193" fontId="2" fillId="0" borderId="0" applyFont="0" applyFill="0" applyBorder="0" applyAlignment="0" applyProtection="0"/>
    <xf numFmtId="209" fontId="54" fillId="0" borderId="0" applyFont="0" applyFill="0" applyBorder="0" applyAlignment="0" applyProtection="0"/>
    <xf numFmtId="208" fontId="54" fillId="0" borderId="0" applyFont="0" applyFill="0" applyBorder="0" applyAlignment="0" applyProtection="0"/>
    <xf numFmtId="41" fontId="55" fillId="0" borderId="0" applyFont="0" applyFill="0" applyBorder="0" applyAlignment="0" applyProtection="0"/>
    <xf numFmtId="43" fontId="55" fillId="0" borderId="0" applyFont="0" applyFill="0" applyBorder="0" applyAlignment="0" applyProtection="0"/>
    <xf numFmtId="200" fontId="50" fillId="0" borderId="0" applyFont="0" applyFill="0" applyBorder="0" applyAlignment="0" applyProtection="0"/>
    <xf numFmtId="0" fontId="54" fillId="0" borderId="0" applyFont="0" applyFill="0" applyBorder="0" applyAlignment="0" applyProtection="0"/>
    <xf numFmtId="40" fontId="44" fillId="0" borderId="0" applyFont="0" applyFill="0" applyBorder="0" applyAlignment="0" applyProtection="0"/>
    <xf numFmtId="38" fontId="44" fillId="0" borderId="0" applyFont="0" applyFill="0" applyBorder="0" applyAlignment="0" applyProtection="0"/>
    <xf numFmtId="0" fontId="2" fillId="0" borderId="0"/>
    <xf numFmtId="0" fontId="36" fillId="0" borderId="0" applyNumberFormat="0" applyFill="0" applyBorder="0" applyAlignment="0" applyProtection="0"/>
    <xf numFmtId="189" fontId="56" fillId="0" borderId="0" applyFont="0" applyFill="0" applyBorder="0" applyAlignment="0" applyProtection="0"/>
    <xf numFmtId="0" fontId="34"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89" fontId="56" fillId="0" borderId="0" applyFont="0" applyFill="0" applyBorder="0" applyAlignment="0" applyProtection="0"/>
    <xf numFmtId="0" fontId="34" fillId="0" borderId="0" applyFont="0" applyFill="0" applyBorder="0" applyAlignment="0" applyProtection="0"/>
    <xf numFmtId="189" fontId="56" fillId="0" borderId="0" applyFont="0" applyFill="0" applyBorder="0" applyAlignment="0" applyProtection="0"/>
    <xf numFmtId="197" fontId="57" fillId="0" borderId="0" applyFont="0" applyFill="0" applyBorder="0" applyAlignment="0" applyProtection="0"/>
    <xf numFmtId="43" fontId="57"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209" fontId="56" fillId="0" borderId="0" applyFont="0" applyFill="0" applyBorder="0" applyAlignment="0" applyProtection="0"/>
    <xf numFmtId="41" fontId="57" fillId="0" borderId="0" applyFont="0" applyFill="0" applyBorder="0" applyAlignment="0" applyProtection="0"/>
    <xf numFmtId="189" fontId="56" fillId="0" borderId="0" applyFont="0" applyFill="0" applyBorder="0" applyAlignment="0" applyProtection="0"/>
    <xf numFmtId="189" fontId="56" fillId="0" borderId="0" applyFont="0" applyFill="0" applyBorder="0" applyAlignment="0" applyProtection="0"/>
    <xf numFmtId="239" fontId="56"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43" fontId="57" fillId="0" borderId="0" applyFont="0" applyFill="0" applyBorder="0" applyAlignment="0" applyProtection="0"/>
    <xf numFmtId="209" fontId="56" fillId="0" borderId="0" applyFont="0" applyFill="0" applyBorder="0" applyAlignment="0" applyProtection="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189" fontId="56" fillId="0" borderId="0" applyFont="0" applyFill="0" applyBorder="0" applyAlignment="0" applyProtection="0"/>
    <xf numFmtId="41" fontId="57" fillId="0" borderId="0" applyFont="0" applyFill="0" applyBorder="0" applyAlignment="0" applyProtection="0"/>
    <xf numFmtId="239" fontId="56" fillId="0" borderId="0" applyFont="0" applyFill="0" applyBorder="0" applyAlignment="0" applyProtection="0"/>
    <xf numFmtId="43" fontId="57" fillId="0" borderId="0" applyFont="0" applyFill="0" applyBorder="0" applyAlignment="0" applyProtection="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209" fontId="56" fillId="0" borderId="0" applyFont="0" applyFill="0" applyBorder="0" applyAlignment="0" applyProtection="0"/>
    <xf numFmtId="41" fontId="57" fillId="0" borderId="0" applyFont="0" applyFill="0" applyBorder="0" applyAlignment="0" applyProtection="0"/>
    <xf numFmtId="197" fontId="57" fillId="0" borderId="0" applyFont="0" applyFill="0" applyBorder="0" applyAlignment="0" applyProtection="0"/>
    <xf numFmtId="41" fontId="57" fillId="0" borderId="0" applyFont="0" applyFill="0" applyBorder="0" applyAlignment="0" applyProtection="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209" fontId="56" fillId="0" borderId="0" applyFont="0" applyFill="0" applyBorder="0" applyAlignment="0" applyProtection="0"/>
    <xf numFmtId="197" fontId="57" fillId="0" borderId="0" applyFont="0" applyFill="0" applyBorder="0" applyAlignment="0" applyProtection="0"/>
    <xf numFmtId="43" fontId="57" fillId="0" borderId="0" applyFont="0" applyFill="0" applyBorder="0" applyAlignment="0" applyProtection="0"/>
    <xf numFmtId="239" fontId="56"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20" fontId="58" fillId="0" borderId="0" applyFont="0" applyFill="0" applyBorder="0" applyAlignment="0" applyProtection="0"/>
    <xf numFmtId="187" fontId="50" fillId="0" borderId="0" applyFont="0" applyFill="0" applyBorder="0" applyAlignment="0" applyProtection="0"/>
    <xf numFmtId="198" fontId="47" fillId="0" borderId="0" applyFont="0" applyFill="0" applyBorder="0" applyAlignment="0" applyProtection="0"/>
    <xf numFmtId="197" fontId="47" fillId="0" borderId="0" applyFont="0" applyFill="0" applyBorder="0" applyAlignment="0" applyProtection="0"/>
    <xf numFmtId="187" fontId="50" fillId="0" borderId="0" applyFont="0" applyFill="0" applyBorder="0" applyAlignment="0" applyProtection="0"/>
    <xf numFmtId="198" fontId="47" fillId="0" borderId="0" applyFont="0" applyFill="0" applyBorder="0" applyAlignment="0" applyProtection="0"/>
    <xf numFmtId="217" fontId="36" fillId="0" borderId="0" applyFont="0" applyFill="0" applyBorder="0" applyAlignment="0" applyProtection="0"/>
    <xf numFmtId="199" fontId="48" fillId="0" borderId="0" applyFont="0" applyFill="0" applyBorder="0" applyAlignment="0" applyProtection="0"/>
    <xf numFmtId="0" fontId="59" fillId="0" borderId="0"/>
    <xf numFmtId="0" fontId="59" fillId="0" borderId="0"/>
    <xf numFmtId="0" fontId="22" fillId="0" borderId="0"/>
    <xf numFmtId="3" fontId="53" fillId="0" borderId="1"/>
    <xf numFmtId="3" fontId="53" fillId="0" borderId="1"/>
    <xf numFmtId="0" fontId="60" fillId="2" borderId="0"/>
    <xf numFmtId="0" fontId="60" fillId="2" borderId="0"/>
    <xf numFmtId="0" fontId="38" fillId="2" borderId="0"/>
    <xf numFmtId="0" fontId="38" fillId="2" borderId="0"/>
    <xf numFmtId="0" fontId="60" fillId="2" borderId="0"/>
    <xf numFmtId="0" fontId="38" fillId="2" borderId="0"/>
    <xf numFmtId="0" fontId="60" fillId="2" borderId="0"/>
    <xf numFmtId="0" fontId="38" fillId="2" borderId="0"/>
    <xf numFmtId="0" fontId="60" fillId="2" borderId="0"/>
    <xf numFmtId="0" fontId="60" fillId="2" borderId="0"/>
    <xf numFmtId="0" fontId="60" fillId="2" borderId="0"/>
    <xf numFmtId="0" fontId="38" fillId="2" borderId="0"/>
    <xf numFmtId="0" fontId="38" fillId="2" borderId="0"/>
    <xf numFmtId="0" fontId="38" fillId="2" borderId="0"/>
    <xf numFmtId="0" fontId="60" fillId="2" borderId="0"/>
    <xf numFmtId="0" fontId="38" fillId="2" borderId="0"/>
    <xf numFmtId="0" fontId="38" fillId="2" borderId="0"/>
    <xf numFmtId="0" fontId="38" fillId="2" borderId="0"/>
    <xf numFmtId="0" fontId="38" fillId="2" borderId="0"/>
    <xf numFmtId="0" fontId="38" fillId="2" borderId="0"/>
    <xf numFmtId="0" fontId="60" fillId="2" borderId="0"/>
    <xf numFmtId="0" fontId="60" fillId="2" borderId="0"/>
    <xf numFmtId="0" fontId="38" fillId="2" borderId="0"/>
    <xf numFmtId="0" fontId="38" fillId="2" borderId="0"/>
    <xf numFmtId="0" fontId="38" fillId="2" borderId="0"/>
    <xf numFmtId="0" fontId="38" fillId="2" borderId="0"/>
    <xf numFmtId="0" fontId="60" fillId="2" borderId="0"/>
    <xf numFmtId="0" fontId="60" fillId="2" borderId="0"/>
    <xf numFmtId="0" fontId="38" fillId="2" borderId="0"/>
    <xf numFmtId="0" fontId="60" fillId="2" borderId="0"/>
    <xf numFmtId="0" fontId="38" fillId="2" borderId="0"/>
    <xf numFmtId="0" fontId="38" fillId="2" borderId="0"/>
    <xf numFmtId="0" fontId="60" fillId="2" borderId="0"/>
    <xf numFmtId="0" fontId="60" fillId="2" borderId="0"/>
    <xf numFmtId="0" fontId="61" fillId="0" borderId="1" applyNumberFormat="0" applyFont="0" applyBorder="0">
      <alignment horizontal="left" indent="2"/>
    </xf>
    <xf numFmtId="9" fontId="62" fillId="0" borderId="0" applyFont="0" applyFill="0" applyBorder="0" applyAlignment="0" applyProtection="0"/>
    <xf numFmtId="9" fontId="45" fillId="0" borderId="0" applyFont="0" applyFill="0" applyBorder="0" applyAlignment="0" applyProtection="0"/>
    <xf numFmtId="9" fontId="63" fillId="0" borderId="0" applyBorder="0" applyAlignment="0" applyProtection="0"/>
    <xf numFmtId="0" fontId="64" fillId="2" borderId="0"/>
    <xf numFmtId="0" fontId="64" fillId="2" borderId="0"/>
    <xf numFmtId="0" fontId="38" fillId="2" borderId="0"/>
    <xf numFmtId="0" fontId="38" fillId="2" borderId="0"/>
    <xf numFmtId="0" fontId="64" fillId="2" borderId="0"/>
    <xf numFmtId="0" fontId="38" fillId="2" borderId="0"/>
    <xf numFmtId="0" fontId="64" fillId="2" borderId="0"/>
    <xf numFmtId="0" fontId="38" fillId="2" borderId="0"/>
    <xf numFmtId="0" fontId="64" fillId="2" borderId="0"/>
    <xf numFmtId="0" fontId="64" fillId="2" borderId="0"/>
    <xf numFmtId="0" fontId="64" fillId="2" borderId="0"/>
    <xf numFmtId="0" fontId="38" fillId="2" borderId="0"/>
    <xf numFmtId="0" fontId="38" fillId="2" borderId="0"/>
    <xf numFmtId="0" fontId="38" fillId="2" borderId="0"/>
    <xf numFmtId="0" fontId="64" fillId="2" borderId="0"/>
    <xf numFmtId="0" fontId="38" fillId="2" borderId="0"/>
    <xf numFmtId="0" fontId="38" fillId="2" borderId="0"/>
    <xf numFmtId="0" fontId="38" fillId="2" borderId="0"/>
    <xf numFmtId="0" fontId="38" fillId="2" borderId="0"/>
    <xf numFmtId="0" fontId="38" fillId="2" borderId="0"/>
    <xf numFmtId="0" fontId="64" fillId="2" borderId="0"/>
    <xf numFmtId="0" fontId="64" fillId="2" borderId="0"/>
    <xf numFmtId="0" fontId="38" fillId="2" borderId="0"/>
    <xf numFmtId="0" fontId="38" fillId="2" borderId="0"/>
    <xf numFmtId="0" fontId="38" fillId="2" borderId="0"/>
    <xf numFmtId="0" fontId="38" fillId="2" borderId="0"/>
    <xf numFmtId="0" fontId="64" fillId="2" borderId="0"/>
    <xf numFmtId="0" fontId="64" fillId="2" borderId="0"/>
    <xf numFmtId="0" fontId="38" fillId="2" borderId="0"/>
    <xf numFmtId="0" fontId="64" fillId="2" borderId="0"/>
    <xf numFmtId="0" fontId="38" fillId="2" borderId="0"/>
    <xf numFmtId="0" fontId="38" fillId="2" borderId="0"/>
    <xf numFmtId="0" fontId="64" fillId="2" borderId="0"/>
    <xf numFmtId="0" fontId="64" fillId="2" borderId="0"/>
    <xf numFmtId="0" fontId="61" fillId="0" borderId="1" applyNumberFormat="0" applyFont="0" applyBorder="0" applyAlignment="0">
      <alignment horizontal="center"/>
    </xf>
    <xf numFmtId="0" fontId="14"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65" fillId="2" borderId="0"/>
    <xf numFmtId="0" fontId="65" fillId="2" borderId="0"/>
    <xf numFmtId="0" fontId="38" fillId="2" borderId="0"/>
    <xf numFmtId="0" fontId="38" fillId="2" borderId="0"/>
    <xf numFmtId="0" fontId="65" fillId="2" borderId="0"/>
    <xf numFmtId="0" fontId="38" fillId="2" borderId="0"/>
    <xf numFmtId="0" fontId="65" fillId="2" borderId="0"/>
    <xf numFmtId="0" fontId="38" fillId="2" borderId="0"/>
    <xf numFmtId="0" fontId="65" fillId="2" borderId="0"/>
    <xf numFmtId="0" fontId="65" fillId="2" borderId="0"/>
    <xf numFmtId="0" fontId="65" fillId="2" borderId="0"/>
    <xf numFmtId="0" fontId="38" fillId="2" borderId="0"/>
    <xf numFmtId="0" fontId="38" fillId="2" borderId="0"/>
    <xf numFmtId="0" fontId="38" fillId="2" borderId="0"/>
    <xf numFmtId="0" fontId="65" fillId="2" borderId="0"/>
    <xf numFmtId="0" fontId="38" fillId="2" borderId="0"/>
    <xf numFmtId="0" fontId="38" fillId="2" borderId="0"/>
    <xf numFmtId="0" fontId="38" fillId="2" borderId="0"/>
    <xf numFmtId="0" fontId="38" fillId="2" borderId="0"/>
    <xf numFmtId="0" fontId="38" fillId="2" borderId="0"/>
    <xf numFmtId="0" fontId="65" fillId="2" borderId="0"/>
    <xf numFmtId="0" fontId="65" fillId="2" borderId="0"/>
    <xf numFmtId="0" fontId="38" fillId="2" borderId="0"/>
    <xf numFmtId="0" fontId="38" fillId="2" borderId="0"/>
    <xf numFmtId="0" fontId="38" fillId="2" borderId="0"/>
    <xf numFmtId="0" fontId="38" fillId="2" borderId="0"/>
    <xf numFmtId="0" fontId="65" fillId="2" borderId="0"/>
    <xf numFmtId="0" fontId="65" fillId="2" borderId="0"/>
    <xf numFmtId="0" fontId="38" fillId="2" borderId="0"/>
    <xf numFmtId="0" fontId="65" fillId="2" borderId="0"/>
    <xf numFmtId="0" fontId="38" fillId="2" borderId="0"/>
    <xf numFmtId="0" fontId="38" fillId="2" borderId="0"/>
    <xf numFmtId="0" fontId="65" fillId="2" borderId="0"/>
    <xf numFmtId="0" fontId="66" fillId="0" borderId="0">
      <alignment wrapText="1"/>
    </xf>
    <xf numFmtId="0" fontId="66" fillId="0" borderId="0">
      <alignment wrapText="1"/>
    </xf>
    <xf numFmtId="0" fontId="38" fillId="0" borderId="0">
      <alignment wrapText="1"/>
    </xf>
    <xf numFmtId="0" fontId="38" fillId="0" borderId="0">
      <alignment wrapText="1"/>
    </xf>
    <xf numFmtId="0" fontId="66" fillId="0" borderId="0">
      <alignment wrapText="1"/>
    </xf>
    <xf numFmtId="0" fontId="38" fillId="0" borderId="0">
      <alignment wrapText="1"/>
    </xf>
    <xf numFmtId="0" fontId="66" fillId="0" borderId="0">
      <alignment wrapText="1"/>
    </xf>
    <xf numFmtId="0" fontId="38" fillId="0" borderId="0">
      <alignment wrapText="1"/>
    </xf>
    <xf numFmtId="0" fontId="66" fillId="0" borderId="0">
      <alignment wrapText="1"/>
    </xf>
    <xf numFmtId="0" fontId="66" fillId="0" borderId="0">
      <alignment wrapText="1"/>
    </xf>
    <xf numFmtId="0" fontId="66" fillId="0" borderId="0">
      <alignment wrapText="1"/>
    </xf>
    <xf numFmtId="0" fontId="38" fillId="0" borderId="0">
      <alignment wrapText="1"/>
    </xf>
    <xf numFmtId="0" fontId="38" fillId="0" borderId="0">
      <alignment wrapText="1"/>
    </xf>
    <xf numFmtId="0" fontId="38" fillId="0" borderId="0">
      <alignment wrapText="1"/>
    </xf>
    <xf numFmtId="0" fontId="66" fillId="0" borderId="0">
      <alignment wrapText="1"/>
    </xf>
    <xf numFmtId="0" fontId="38" fillId="0" borderId="0">
      <alignment wrapText="1"/>
    </xf>
    <xf numFmtId="0" fontId="38" fillId="0" borderId="0">
      <alignment wrapText="1"/>
    </xf>
    <xf numFmtId="0" fontId="38" fillId="0" borderId="0">
      <alignment wrapText="1"/>
    </xf>
    <xf numFmtId="0" fontId="38" fillId="0" borderId="0">
      <alignment wrapText="1"/>
    </xf>
    <xf numFmtId="0" fontId="38" fillId="0" borderId="0">
      <alignment wrapText="1"/>
    </xf>
    <xf numFmtId="0" fontId="66" fillId="0" borderId="0">
      <alignment wrapText="1"/>
    </xf>
    <xf numFmtId="0" fontId="66" fillId="0" borderId="0">
      <alignment wrapText="1"/>
    </xf>
    <xf numFmtId="0" fontId="38" fillId="0" borderId="0">
      <alignment wrapText="1"/>
    </xf>
    <xf numFmtId="0" fontId="38" fillId="0" borderId="0">
      <alignment wrapText="1"/>
    </xf>
    <xf numFmtId="0" fontId="38" fillId="0" borderId="0">
      <alignment wrapText="1"/>
    </xf>
    <xf numFmtId="0" fontId="38" fillId="0" borderId="0">
      <alignment wrapText="1"/>
    </xf>
    <xf numFmtId="0" fontId="66" fillId="0" borderId="0">
      <alignment wrapText="1"/>
    </xf>
    <xf numFmtId="0" fontId="66" fillId="0" borderId="0">
      <alignment wrapText="1"/>
    </xf>
    <xf numFmtId="0" fontId="38" fillId="0" borderId="0">
      <alignment wrapText="1"/>
    </xf>
    <xf numFmtId="0" fontId="66" fillId="0" borderId="0">
      <alignment wrapText="1"/>
    </xf>
    <xf numFmtId="0" fontId="38" fillId="0" borderId="0">
      <alignment wrapText="1"/>
    </xf>
    <xf numFmtId="0" fontId="38" fillId="0" borderId="0">
      <alignment wrapText="1"/>
    </xf>
    <xf numFmtId="0" fontId="66" fillId="0" borderId="0">
      <alignment wrapText="1"/>
    </xf>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36" fillId="0" borderId="0"/>
    <xf numFmtId="0" fontId="36" fillId="0" borderId="0"/>
    <xf numFmtId="0" fontId="36" fillId="0" borderId="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235" fontId="2" fillId="0" borderId="0" applyFont="0" applyFill="0" applyBorder="0" applyAlignment="0" applyProtection="0"/>
    <xf numFmtId="0" fontId="42" fillId="0" borderId="0" applyFont="0" applyFill="0" applyBorder="0" applyAlignment="0" applyProtection="0"/>
    <xf numFmtId="195" fontId="38" fillId="0" borderId="0" applyFont="0" applyFill="0" applyBorder="0" applyAlignment="0" applyProtection="0"/>
    <xf numFmtId="236" fontId="2" fillId="0" borderId="0" applyFont="0" applyFill="0" applyBorder="0" applyAlignment="0" applyProtection="0"/>
    <xf numFmtId="0" fontId="42" fillId="0" borderId="0" applyFont="0" applyFill="0" applyBorder="0" applyAlignment="0" applyProtection="0"/>
    <xf numFmtId="236" fontId="2" fillId="0" borderId="0" applyFont="0" applyFill="0" applyBorder="0" applyAlignment="0" applyProtection="0"/>
    <xf numFmtId="0" fontId="33" fillId="0" borderId="0">
      <alignment horizontal="center" wrapText="1"/>
      <protection locked="0"/>
    </xf>
    <xf numFmtId="208" fontId="67" fillId="0" borderId="0" applyFont="0" applyFill="0" applyBorder="0" applyAlignment="0" applyProtection="0"/>
    <xf numFmtId="0" fontId="42" fillId="0" borderId="0" applyFont="0" applyFill="0" applyBorder="0" applyAlignment="0" applyProtection="0"/>
    <xf numFmtId="208" fontId="67" fillId="0" borderId="0" applyFont="0" applyFill="0" applyBorder="0" applyAlignment="0" applyProtection="0"/>
    <xf numFmtId="209" fontId="67" fillId="0" borderId="0" applyFont="0" applyFill="0" applyBorder="0" applyAlignment="0" applyProtection="0"/>
    <xf numFmtId="0" fontId="42" fillId="0" borderId="0" applyFont="0" applyFill="0" applyBorder="0" applyAlignment="0" applyProtection="0"/>
    <xf numFmtId="209" fontId="67" fillId="0" borderId="0" applyFont="0" applyFill="0" applyBorder="0" applyAlignment="0" applyProtection="0"/>
    <xf numFmtId="197" fontId="57" fillId="0" borderId="0" applyFont="0" applyFill="0" applyBorder="0" applyAlignment="0" applyProtection="0"/>
    <xf numFmtId="0" fontId="9" fillId="0" borderId="0"/>
    <xf numFmtId="0" fontId="9" fillId="0" borderId="0"/>
    <xf numFmtId="0" fontId="2" fillId="0" borderId="0"/>
    <xf numFmtId="0" fontId="2" fillId="0" borderId="0"/>
    <xf numFmtId="0" fontId="68" fillId="0" borderId="0" applyNumberFormat="0" applyFill="0" applyBorder="0" applyAlignment="0" applyProtection="0"/>
    <xf numFmtId="0" fontId="42" fillId="0" borderId="0"/>
    <xf numFmtId="0" fontId="22" fillId="0" borderId="0"/>
    <xf numFmtId="0" fontId="42" fillId="0" borderId="0"/>
    <xf numFmtId="0" fontId="69" fillId="0" borderId="0"/>
    <xf numFmtId="0" fontId="38" fillId="0" borderId="0"/>
    <xf numFmtId="190" fontId="14" fillId="0" borderId="0" applyFill="0" applyBorder="0" applyAlignment="0"/>
    <xf numFmtId="225" fontId="70" fillId="0" borderId="0" applyFill="0" applyBorder="0" applyAlignment="0"/>
    <xf numFmtId="173" fontId="70" fillId="0" borderId="0" applyFill="0" applyBorder="0" applyAlignment="0"/>
    <xf numFmtId="226" fontId="14" fillId="0" borderId="0" applyFill="0" applyBorder="0" applyAlignment="0"/>
    <xf numFmtId="228" fontId="14"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0" fontId="71" fillId="0" borderId="0"/>
    <xf numFmtId="213" fontId="56" fillId="0" borderId="0" applyFont="0" applyFill="0" applyBorder="0" applyAlignment="0" applyProtection="0"/>
    <xf numFmtId="167" fontId="1" fillId="0" borderId="0" applyFont="0" applyFill="0" applyBorder="0" applyAlignment="0" applyProtection="0"/>
    <xf numFmtId="210" fontId="36" fillId="0" borderId="0"/>
    <xf numFmtId="210" fontId="36" fillId="0" borderId="0"/>
    <xf numFmtId="210" fontId="36" fillId="0" borderId="0"/>
    <xf numFmtId="210" fontId="36" fillId="0" borderId="0"/>
    <xf numFmtId="210" fontId="36" fillId="0" borderId="0"/>
    <xf numFmtId="210" fontId="36" fillId="0" borderId="0"/>
    <xf numFmtId="210" fontId="36" fillId="0" borderId="0"/>
    <xf numFmtId="210" fontId="36" fillId="0" borderId="0"/>
    <xf numFmtId="165" fontId="2" fillId="0" borderId="0" applyFont="0" applyFill="0" applyBorder="0" applyAlignment="0" applyProtection="0"/>
    <xf numFmtId="230" fontId="25" fillId="0" borderId="0" applyFont="0" applyFill="0" applyBorder="0" applyAlignment="0" applyProtection="0"/>
    <xf numFmtId="182" fontId="2" fillId="0" borderId="0" applyFill="0" applyBorder="0" applyAlignment="0" applyProtection="0"/>
    <xf numFmtId="167" fontId="7" fillId="0" borderId="0" applyFont="0" applyFill="0" applyBorder="0" applyAlignment="0" applyProtection="0"/>
    <xf numFmtId="167" fontId="32" fillId="0" borderId="0" applyFont="0" applyFill="0" applyBorder="0" applyAlignment="0" applyProtection="0"/>
    <xf numFmtId="167" fontId="2" fillId="0" borderId="0" applyFont="0" applyFill="0" applyBorder="0" applyAlignment="0" applyProtection="0"/>
    <xf numFmtId="167" fontId="13" fillId="0" borderId="0" applyFont="0" applyFill="0" applyBorder="0" applyAlignment="0" applyProtection="0"/>
    <xf numFmtId="240" fontId="7" fillId="0" borderId="0" applyFont="0" applyFill="0" applyBorder="0" applyAlignment="0" applyProtection="0"/>
    <xf numFmtId="180" fontId="2" fillId="0" borderId="0" applyFont="0" applyFill="0" applyBorder="0" applyAlignment="0" applyProtection="0"/>
    <xf numFmtId="188" fontId="2" fillId="0" borderId="0" applyFont="0" applyFill="0" applyBorder="0" applyAlignment="0" applyProtection="0"/>
    <xf numFmtId="168" fontId="36" fillId="0" borderId="0" applyFont="0" applyFill="0" applyBorder="0" applyAlignment="0" applyProtection="0"/>
    <xf numFmtId="167" fontId="2" fillId="0" borderId="0" applyFont="0" applyFill="0" applyBorder="0" applyAlignment="0" applyProtection="0"/>
    <xf numFmtId="167" fontId="103" fillId="0" borderId="0" applyFont="0" applyFill="0" applyBorder="0" applyAlignment="0" applyProtection="0"/>
    <xf numFmtId="168" fontId="36" fillId="0" borderId="0" applyFont="0" applyFill="0" applyBorder="0" applyAlignment="0" applyProtection="0"/>
    <xf numFmtId="167" fontId="2" fillId="0" borderId="0" applyFont="0" applyFill="0" applyBorder="0" applyAlignment="0" applyProtection="0"/>
    <xf numFmtId="167" fontId="98" fillId="0" borderId="0" applyFont="0" applyFill="0" applyBorder="0" applyAlignment="0" applyProtection="0"/>
    <xf numFmtId="43" fontId="37" fillId="0" borderId="0" applyFont="0" applyFill="0" applyBorder="0" applyAlignment="0" applyProtection="0"/>
    <xf numFmtId="168" fontId="2" fillId="0" borderId="0" applyFont="0" applyFill="0" applyBorder="0" applyAlignment="0" applyProtection="0"/>
    <xf numFmtId="167" fontId="38" fillId="0" borderId="0" applyFont="0" applyFill="0" applyBorder="0" applyAlignment="0" applyProtection="0"/>
    <xf numFmtId="167" fontId="100" fillId="0" borderId="0" applyFont="0" applyFill="0" applyBorder="0" applyAlignment="0" applyProtection="0"/>
    <xf numFmtId="168" fontId="7" fillId="0" borderId="0" applyFont="0" applyFill="0" applyBorder="0" applyAlignment="0" applyProtection="0"/>
    <xf numFmtId="203" fontId="22" fillId="0" borderId="0"/>
    <xf numFmtId="3" fontId="2" fillId="0" borderId="0" applyFont="0" applyFill="0" applyBorder="0" applyAlignment="0" applyProtection="0"/>
    <xf numFmtId="0" fontId="72" fillId="0" borderId="0" applyNumberFormat="0" applyAlignment="0">
      <alignment horizontal="left"/>
    </xf>
    <xf numFmtId="224" fontId="73" fillId="0" borderId="0" applyFont="0" applyFill="0" applyBorder="0" applyAlignment="0" applyProtection="0"/>
    <xf numFmtId="221" fontId="58" fillId="0" borderId="0" applyFont="0" applyFill="0" applyBorder="0" applyAlignment="0" applyProtection="0"/>
    <xf numFmtId="43" fontId="47" fillId="0" borderId="0" applyFont="0" applyFill="0" applyBorder="0" applyAlignment="0" applyProtection="0"/>
    <xf numFmtId="225" fontId="70" fillId="0" borderId="0" applyFont="0" applyFill="0" applyBorder="0" applyAlignment="0" applyProtection="0"/>
    <xf numFmtId="166" fontId="100" fillId="0" borderId="0" applyFont="0" applyFill="0" applyBorder="0" applyAlignment="0" applyProtection="0"/>
    <xf numFmtId="192" fontId="2" fillId="0" borderId="0" applyFont="0" applyFill="0" applyBorder="0" applyAlignment="0" applyProtection="0"/>
    <xf numFmtId="201" fontId="2" fillId="0" borderId="0"/>
    <xf numFmtId="175" fontId="14" fillId="0" borderId="2"/>
    <xf numFmtId="0" fontId="2" fillId="0" borderId="0" applyFont="0" applyFill="0" applyBorder="0" applyAlignment="0" applyProtection="0"/>
    <xf numFmtId="14" fontId="11" fillId="0" borderId="0" applyFill="0" applyBorder="0" applyAlignment="0"/>
    <xf numFmtId="212" fontId="74" fillId="0" borderId="0">
      <protection locked="0"/>
    </xf>
    <xf numFmtId="183" fontId="36" fillId="0" borderId="0" applyFont="0" applyFill="0" applyBorder="0" applyAlignment="0" applyProtection="0"/>
    <xf numFmtId="191" fontId="36" fillId="0" borderId="0" applyFont="0" applyFill="0" applyBorder="0" applyAlignment="0" applyProtection="0"/>
    <xf numFmtId="219" fontId="58" fillId="0" borderId="0" applyFont="0" applyFill="0" applyBorder="0" applyAlignment="0" applyProtection="0"/>
    <xf numFmtId="194" fontId="2" fillId="0" borderId="0" applyFont="0" applyFill="0" applyBorder="0" applyAlignment="0" applyProtection="0"/>
    <xf numFmtId="202" fontId="2" fillId="0" borderId="0"/>
    <xf numFmtId="3" fontId="14" fillId="0" borderId="0" applyFont="0" applyBorder="0" applyAlignment="0"/>
    <xf numFmtId="230" fontId="25" fillId="0" borderId="0" applyFill="0" applyBorder="0" applyAlignment="0"/>
    <xf numFmtId="225" fontId="70"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0" fontId="75" fillId="0" borderId="0" applyNumberFormat="0" applyAlignment="0">
      <alignment horizontal="left"/>
    </xf>
    <xf numFmtId="3" fontId="14" fillId="0" borderId="0" applyFont="0" applyBorder="0" applyAlignment="0"/>
    <xf numFmtId="2" fontId="2" fillId="0" borderId="0" applyFont="0" applyFill="0" applyBorder="0" applyAlignment="0" applyProtection="0"/>
    <xf numFmtId="38" fontId="6" fillId="2" borderId="0" applyNumberFormat="0" applyBorder="0" applyAlignment="0" applyProtection="0"/>
    <xf numFmtId="0" fontId="76" fillId="0" borderId="0" applyNumberFormat="0" applyFont="0" applyBorder="0" applyAlignment="0">
      <alignment horizontal="left" vertical="center"/>
    </xf>
    <xf numFmtId="0" fontId="77" fillId="21" borderId="0"/>
    <xf numFmtId="0" fontId="78" fillId="0" borderId="0">
      <alignment horizontal="left"/>
    </xf>
    <xf numFmtId="0" fontId="26" fillId="0" borderId="3" applyNumberFormat="0" applyAlignment="0" applyProtection="0">
      <alignment horizontal="left" vertical="center"/>
    </xf>
    <xf numFmtId="0" fontId="26" fillId="0" borderId="4">
      <alignment horizontal="left" vertical="center"/>
    </xf>
    <xf numFmtId="0" fontId="39" fillId="0" borderId="0" applyNumberFormat="0" applyFill="0" applyBorder="0" applyAlignment="0" applyProtection="0"/>
    <xf numFmtId="0" fontId="26" fillId="0" borderId="0" applyNumberFormat="0" applyFill="0" applyBorder="0" applyAlignment="0" applyProtection="0"/>
    <xf numFmtId="0" fontId="39" fillId="0" borderId="0" applyProtection="0"/>
    <xf numFmtId="0" fontId="26" fillId="0" borderId="0" applyProtection="0"/>
    <xf numFmtId="0" fontId="79" fillId="0" borderId="5">
      <alignment horizontal="center"/>
    </xf>
    <xf numFmtId="0" fontId="79" fillId="0" borderId="0">
      <alignment horizontal="center"/>
    </xf>
    <xf numFmtId="49" fontId="40" fillId="0" borderId="1">
      <alignment vertical="center"/>
    </xf>
    <xf numFmtId="237" fontId="56" fillId="0" borderId="0" applyFont="0" applyFill="0" applyBorder="0" applyAlignment="0" applyProtection="0"/>
    <xf numFmtId="0" fontId="80" fillId="0" borderId="0"/>
    <xf numFmtId="0" fontId="51" fillId="0" borderId="0" applyFont="0" applyFill="0" applyBorder="0" applyAlignment="0" applyProtection="0"/>
    <xf numFmtId="0" fontId="51" fillId="0" borderId="0" applyFont="0" applyFill="0" applyBorder="0" applyAlignment="0" applyProtection="0"/>
    <xf numFmtId="10" fontId="6" fillId="22" borderId="1" applyNumberFormat="0" applyBorder="0" applyAlignment="0" applyProtection="0"/>
    <xf numFmtId="0" fontId="81" fillId="0" borderId="0"/>
    <xf numFmtId="230" fontId="25" fillId="0" borderId="0" applyFill="0" applyBorder="0" applyAlignment="0"/>
    <xf numFmtId="225" fontId="70"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38" fontId="34" fillId="0" borderId="0" applyFont="0" applyFill="0" applyBorder="0" applyAlignment="0" applyProtection="0"/>
    <xf numFmtId="40" fontId="34" fillId="0" borderId="0" applyFont="0" applyFill="0" applyBorder="0" applyAlignment="0" applyProtection="0"/>
    <xf numFmtId="38" fontId="34" fillId="0" borderId="0" applyFont="0" applyFill="0" applyBorder="0" applyAlignment="0" applyProtection="0"/>
    <xf numFmtId="40" fontId="34" fillId="0" borderId="0" applyFont="0" applyFill="0" applyBorder="0" applyAlignment="0" applyProtection="0"/>
    <xf numFmtId="0" fontId="82" fillId="0" borderId="5"/>
    <xf numFmtId="185" fontId="2" fillId="0" borderId="6"/>
    <xf numFmtId="231" fontId="34" fillId="0" borderId="0" applyFont="0" applyFill="0" applyBorder="0" applyAlignment="0" applyProtection="0"/>
    <xf numFmtId="232" fontId="34" fillId="0" borderId="0" applyFont="0" applyFill="0" applyBorder="0" applyAlignment="0" applyProtection="0"/>
    <xf numFmtId="187" fontId="34" fillId="0" borderId="0" applyFont="0" applyFill="0" applyBorder="0" applyAlignment="0" applyProtection="0"/>
    <xf numFmtId="188" fontId="34" fillId="0" borderId="0" applyFont="0" applyFill="0" applyBorder="0" applyAlignment="0" applyProtection="0"/>
    <xf numFmtId="0" fontId="25" fillId="0" borderId="0" applyNumberFormat="0" applyFont="0" applyFill="0" applyAlignment="0"/>
    <xf numFmtId="0" fontId="73" fillId="0" borderId="1"/>
    <xf numFmtId="0" fontId="22" fillId="0" borderId="0"/>
    <xf numFmtId="0" fontId="73" fillId="0" borderId="1"/>
    <xf numFmtId="37" fontId="83" fillId="0" borderId="0"/>
    <xf numFmtId="196" fontId="43" fillId="0" borderId="0"/>
    <xf numFmtId="0" fontId="2" fillId="0" borderId="0"/>
    <xf numFmtId="0" fontId="48" fillId="0" borderId="0"/>
    <xf numFmtId="0" fontId="7" fillId="0" borderId="0"/>
    <xf numFmtId="0" fontId="7" fillId="0" borderId="0"/>
    <xf numFmtId="0" fontId="101" fillId="0" borderId="0"/>
    <xf numFmtId="0" fontId="2" fillId="0" borderId="0"/>
    <xf numFmtId="0" fontId="13" fillId="0" borderId="0"/>
    <xf numFmtId="0" fontId="2" fillId="0" borderId="0"/>
    <xf numFmtId="0" fontId="32" fillId="0" borderId="0"/>
    <xf numFmtId="0" fontId="2" fillId="0" borderId="0"/>
    <xf numFmtId="0" fontId="13" fillId="0" borderId="0"/>
    <xf numFmtId="0" fontId="73" fillId="0" borderId="0"/>
    <xf numFmtId="0" fontId="2" fillId="0" borderId="0"/>
    <xf numFmtId="0" fontId="21" fillId="0" borderId="0"/>
    <xf numFmtId="0" fontId="16" fillId="0" borderId="0"/>
    <xf numFmtId="0" fontId="31" fillId="0" borderId="0">
      <protection locked="0"/>
    </xf>
    <xf numFmtId="0" fontId="13" fillId="0" borderId="0"/>
    <xf numFmtId="0" fontId="104" fillId="0" borderId="0"/>
    <xf numFmtId="0" fontId="34" fillId="0" borderId="0"/>
    <xf numFmtId="0" fontId="105" fillId="0" borderId="0"/>
    <xf numFmtId="0" fontId="21" fillId="0" borderId="0"/>
    <xf numFmtId="0" fontId="13" fillId="0" borderId="0"/>
    <xf numFmtId="0" fontId="21" fillId="0" borderId="0"/>
    <xf numFmtId="0" fontId="2" fillId="0" borderId="0"/>
    <xf numFmtId="0" fontId="13" fillId="0" borderId="0"/>
    <xf numFmtId="0" fontId="103" fillId="0" borderId="0"/>
    <xf numFmtId="0" fontId="98" fillId="0" borderId="0"/>
    <xf numFmtId="0" fontId="7" fillId="0" borderId="0"/>
    <xf numFmtId="0" fontId="2" fillId="0" borderId="0"/>
    <xf numFmtId="0" fontId="2" fillId="0" borderId="0"/>
    <xf numFmtId="0" fontId="7" fillId="0" borderId="0"/>
    <xf numFmtId="0" fontId="37" fillId="0" borderId="0"/>
    <xf numFmtId="0" fontId="38" fillId="0" borderId="0"/>
    <xf numFmtId="0" fontId="37" fillId="0" borderId="0"/>
    <xf numFmtId="0" fontId="13" fillId="0" borderId="0"/>
    <xf numFmtId="0" fontId="14" fillId="0" borderId="0"/>
    <xf numFmtId="0" fontId="14" fillId="0" borderId="0"/>
    <xf numFmtId="0" fontId="2" fillId="0" borderId="0"/>
    <xf numFmtId="0" fontId="13" fillId="0" borderId="0"/>
    <xf numFmtId="0" fontId="13" fillId="0" borderId="0"/>
    <xf numFmtId="3" fontId="14" fillId="0" borderId="0">
      <alignment wrapText="1"/>
    </xf>
    <xf numFmtId="0" fontId="2" fillId="0" borderId="0"/>
    <xf numFmtId="0" fontId="13" fillId="0" borderId="0"/>
    <xf numFmtId="0" fontId="7" fillId="0" borderId="0"/>
    <xf numFmtId="0" fontId="14" fillId="0" borderId="0"/>
    <xf numFmtId="0" fontId="2" fillId="23" borderId="7" applyNumberFormat="0" applyFont="0" applyAlignment="0" applyProtection="0"/>
    <xf numFmtId="43" fontId="59" fillId="0" borderId="0" applyFont="0" applyFill="0" applyBorder="0" applyAlignment="0" applyProtection="0"/>
    <xf numFmtId="41" fontId="59" fillId="0" borderId="0" applyFont="0" applyFill="0" applyBorder="0" applyAlignment="0" applyProtection="0"/>
    <xf numFmtId="0" fontId="85" fillId="0" borderId="0" applyNumberFormat="0" applyFill="0" applyBorder="0" applyAlignment="0" applyProtection="0"/>
    <xf numFmtId="0" fontId="73" fillId="0" borderId="0" applyNumberFormat="0" applyFill="0" applyBorder="0" applyAlignment="0" applyProtection="0"/>
    <xf numFmtId="0" fontId="14" fillId="0" borderId="0" applyNumberFormat="0" applyFill="0" applyBorder="0" applyAlignment="0" applyProtection="0"/>
    <xf numFmtId="14" fontId="33" fillId="0" borderId="0">
      <alignment horizontal="center" wrapText="1"/>
      <protection locked="0"/>
    </xf>
    <xf numFmtId="228" fontId="14" fillId="0" borderId="0" applyFont="0" applyFill="0" applyBorder="0" applyAlignment="0" applyProtection="0"/>
    <xf numFmtId="211" fontId="2" fillId="0" borderId="0" applyFont="0" applyFill="0" applyBorder="0" applyAlignment="0" applyProtection="0"/>
    <xf numFmtId="10" fontId="2" fillId="0" borderId="0" applyFont="0" applyFill="0" applyBorder="0" applyAlignment="0" applyProtection="0"/>
    <xf numFmtId="9" fontId="36" fillId="0" borderId="0" applyFont="0" applyFill="0" applyBorder="0" applyAlignment="0" applyProtection="0"/>
    <xf numFmtId="9" fontId="100" fillId="0" borderId="0" applyFont="0" applyFill="0" applyBorder="0" applyAlignment="0" applyProtection="0"/>
    <xf numFmtId="9" fontId="34" fillId="0" borderId="8" applyNumberFormat="0" applyBorder="0"/>
    <xf numFmtId="230" fontId="25" fillId="0" borderId="0" applyFill="0" applyBorder="0" applyAlignment="0"/>
    <xf numFmtId="225" fontId="70"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0" fontId="86" fillId="0" borderId="0"/>
    <xf numFmtId="0" fontId="34" fillId="0" borderId="0" applyNumberFormat="0" applyFont="0" applyFill="0" applyBorder="0" applyAlignment="0" applyProtection="0">
      <alignment horizontal="left"/>
    </xf>
    <xf numFmtId="0" fontId="10" fillId="0" borderId="5">
      <alignment horizontal="center"/>
    </xf>
    <xf numFmtId="0" fontId="87" fillId="24" borderId="0" applyNumberFormat="0" applyFont="0" applyBorder="0" applyAlignment="0">
      <alignment horizontal="center"/>
    </xf>
    <xf numFmtId="14" fontId="88" fillId="0" borderId="0" applyNumberFormat="0" applyFill="0" applyBorder="0" applyAlignment="0" applyProtection="0">
      <alignment horizontal="left"/>
    </xf>
    <xf numFmtId="237" fontId="56" fillId="0" borderId="0" applyFont="0" applyFill="0" applyBorder="0" applyAlignment="0" applyProtection="0"/>
    <xf numFmtId="0" fontId="14" fillId="0" borderId="0" applyNumberFormat="0" applyFill="0" applyBorder="0" applyAlignment="0" applyProtection="0"/>
    <xf numFmtId="0" fontId="13" fillId="0" borderId="0">
      <alignment vertical="center"/>
    </xf>
    <xf numFmtId="223" fontId="89" fillId="0" borderId="0" applyFont="0" applyFill="0" applyBorder="0" applyAlignment="0" applyProtection="0"/>
    <xf numFmtId="0" fontId="87" fillId="1" borderId="4" applyNumberFormat="0" applyFont="0" applyAlignment="0">
      <alignment horizontal="center"/>
    </xf>
    <xf numFmtId="0" fontId="90" fillId="0" borderId="0" applyNumberFormat="0" applyFill="0" applyBorder="0" applyAlignment="0">
      <alignment horizontal="center"/>
    </xf>
    <xf numFmtId="0" fontId="2" fillId="0" borderId="0"/>
    <xf numFmtId="0" fontId="34" fillId="0" borderId="0" applyFont="0" applyFill="0" applyBorder="0" applyAlignment="0" applyProtection="0"/>
    <xf numFmtId="218" fontId="36"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6" fillId="0" borderId="4">
      <alignment horizontal="left" vertical="center"/>
    </xf>
    <xf numFmtId="0" fontId="26" fillId="0" borderId="3" applyNumberFormat="0" applyAlignment="0" applyProtection="0">
      <alignment horizontal="left" vertical="center"/>
    </xf>
    <xf numFmtId="0" fontId="26" fillId="0" borderId="0" applyNumberFormat="0" applyFill="0" applyBorder="0" applyAlignment="0" applyProtection="0"/>
    <xf numFmtId="0" fontId="39" fillId="0" borderId="0" applyNumberFormat="0" applyFill="0" applyBorder="0" applyAlignment="0" applyProtection="0"/>
    <xf numFmtId="0" fontId="38" fillId="0" borderId="0"/>
    <xf numFmtId="0" fontId="84" fillId="0" borderId="0"/>
    <xf numFmtId="0" fontId="73" fillId="0" borderId="0"/>
    <xf numFmtId="0" fontId="25" fillId="0" borderId="0" applyNumberFormat="0" applyFont="0" applyFill="0" applyAlignment="0"/>
    <xf numFmtId="0" fontId="73" fillId="0" borderId="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189" fontId="56" fillId="0" borderId="0" applyFont="0" applyFill="0" applyBorder="0" applyAlignment="0" applyProtection="0"/>
    <xf numFmtId="189" fontId="56" fillId="0" borderId="0" applyFont="0" applyFill="0" applyBorder="0" applyAlignment="0" applyProtection="0"/>
    <xf numFmtId="239" fontId="56" fillId="0" borderId="0" applyFont="0" applyFill="0" applyBorder="0" applyAlignment="0" applyProtection="0"/>
    <xf numFmtId="0" fontId="2" fillId="0" borderId="9" applyNumberFormat="0" applyFont="0" applyFill="0" applyAlignment="0" applyProtection="0"/>
    <xf numFmtId="222" fontId="73" fillId="0" borderId="0" applyFont="0" applyFill="0" applyBorder="0" applyAlignment="0" applyProtection="0"/>
    <xf numFmtId="0" fontId="25" fillId="0" borderId="0" applyNumberFormat="0" applyFont="0" applyFill="0" applyAlignment="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3" fontId="2" fillId="0" borderId="0" applyFont="0" applyFill="0" applyBorder="0" applyAlignment="0" applyProtection="0"/>
    <xf numFmtId="192" fontId="2" fillId="0" borderId="0" applyFont="0" applyFill="0" applyBorder="0" applyAlignment="0" applyProtection="0"/>
    <xf numFmtId="216" fontId="36" fillId="0" borderId="0" applyFont="0" applyFill="0" applyBorder="0" applyAlignment="0" applyProtection="0"/>
    <xf numFmtId="0" fontId="82" fillId="0" borderId="0"/>
    <xf numFmtId="40" fontId="91" fillId="0" borderId="0" applyBorder="0">
      <alignment horizontal="right"/>
    </xf>
    <xf numFmtId="206" fontId="73" fillId="0" borderId="10">
      <alignment horizontal="right" vertical="center"/>
    </xf>
    <xf numFmtId="206" fontId="73" fillId="0" borderId="10">
      <alignment horizontal="right" vertical="center"/>
    </xf>
    <xf numFmtId="184" fontId="32" fillId="0" borderId="10">
      <alignment horizontal="right" vertical="center"/>
    </xf>
    <xf numFmtId="184" fontId="32" fillId="0" borderId="10">
      <alignment horizontal="right" vertical="center"/>
    </xf>
    <xf numFmtId="184" fontId="32" fillId="0" borderId="10">
      <alignment horizontal="right" vertical="center"/>
    </xf>
    <xf numFmtId="49" fontId="11" fillId="0" borderId="0" applyFill="0" applyBorder="0" applyAlignment="0"/>
    <xf numFmtId="229" fontId="2" fillId="0" borderId="0" applyFill="0" applyBorder="0" applyAlignment="0"/>
    <xf numFmtId="204" fontId="2" fillId="0" borderId="0" applyFill="0" applyBorder="0" applyAlignment="0"/>
    <xf numFmtId="207" fontId="73" fillId="0" borderId="10">
      <alignment horizontal="center"/>
    </xf>
    <xf numFmtId="0" fontId="92" fillId="0" borderId="11"/>
    <xf numFmtId="0" fontId="73" fillId="0" borderId="0" applyNumberFormat="0" applyFill="0" applyBorder="0" applyAlignment="0" applyProtection="0"/>
    <xf numFmtId="0" fontId="85" fillId="0" borderId="0" applyNumberFormat="0" applyFill="0" applyBorder="0" applyAlignment="0" applyProtection="0"/>
    <xf numFmtId="3" fontId="93" fillId="0" borderId="12" applyNumberFormat="0" applyBorder="0" applyAlignment="0"/>
    <xf numFmtId="0" fontId="2" fillId="0" borderId="9" applyNumberFormat="0" applyFont="0" applyFill="0" applyAlignment="0" applyProtection="0"/>
    <xf numFmtId="204" fontId="73" fillId="0" borderId="0"/>
    <xf numFmtId="205" fontId="73" fillId="0" borderId="1"/>
    <xf numFmtId="0" fontId="52" fillId="25" borderId="1">
      <alignment horizontal="left" vertical="center"/>
    </xf>
    <xf numFmtId="186" fontId="41" fillId="0" borderId="13">
      <alignment horizontal="left" vertical="top"/>
    </xf>
    <xf numFmtId="186" fontId="36" fillId="0" borderId="14">
      <alignment horizontal="left" vertical="top"/>
    </xf>
    <xf numFmtId="0" fontId="35" fillId="0" borderId="14">
      <alignment horizontal="left" vertical="center"/>
    </xf>
    <xf numFmtId="0" fontId="94" fillId="0" borderId="0" applyNumberForma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13" fillId="0" borderId="0">
      <alignment vertical="center"/>
    </xf>
    <xf numFmtId="40" fontId="44" fillId="0" borderId="0" applyFont="0" applyFill="0" applyBorder="0" applyAlignment="0" applyProtection="0"/>
    <xf numFmtId="38"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9" fontId="45" fillId="0" borderId="0" applyFont="0" applyFill="0" applyBorder="0" applyAlignment="0" applyProtection="0"/>
    <xf numFmtId="0" fontId="46" fillId="0" borderId="0"/>
    <xf numFmtId="0" fontId="95" fillId="0" borderId="15"/>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215" fontId="2" fillId="0" borderId="0" applyFont="0" applyFill="0" applyBorder="0" applyAlignment="0" applyProtection="0"/>
    <xf numFmtId="214" fontId="2" fillId="0" borderId="0" applyFont="0" applyFill="0" applyBorder="0" applyAlignment="0" applyProtection="0"/>
    <xf numFmtId="195" fontId="48" fillId="0" borderId="0" applyFont="0" applyFill="0" applyBorder="0" applyAlignment="0" applyProtection="0"/>
    <xf numFmtId="199" fontId="48" fillId="0" borderId="0" applyFont="0" applyFill="0" applyBorder="0" applyAlignment="0" applyProtection="0"/>
    <xf numFmtId="0" fontId="49" fillId="0" borderId="0"/>
    <xf numFmtId="0" fontId="25" fillId="0" borderId="0"/>
    <xf numFmtId="41" fontId="47" fillId="0" borderId="0" applyFont="0" applyFill="0" applyBorder="0" applyAlignment="0" applyProtection="0"/>
    <xf numFmtId="43" fontId="47" fillId="0" borderId="0" applyFont="0" applyFill="0" applyBorder="0" applyAlignment="0" applyProtection="0"/>
    <xf numFmtId="41" fontId="2" fillId="0" borderId="0" applyFont="0" applyFill="0" applyBorder="0" applyAlignment="0" applyProtection="0"/>
    <xf numFmtId="0" fontId="97" fillId="0" borderId="0"/>
    <xf numFmtId="197" fontId="47" fillId="0" borderId="0" applyFont="0" applyFill="0" applyBorder="0" applyAlignment="0" applyProtection="0"/>
    <xf numFmtId="164" fontId="50" fillId="0" borderId="0" applyFont="0" applyFill="0" applyBorder="0" applyAlignment="0" applyProtection="0"/>
    <xf numFmtId="198" fontId="47" fillId="0" borderId="0" applyFont="0" applyFill="0" applyBorder="0" applyAlignment="0" applyProtection="0"/>
    <xf numFmtId="0" fontId="2" fillId="0" borderId="0"/>
    <xf numFmtId="0" fontId="125" fillId="0" borderId="0"/>
    <xf numFmtId="0" fontId="125" fillId="0" borderId="0"/>
    <xf numFmtId="0" fontId="126" fillId="0" borderId="0"/>
    <xf numFmtId="0" fontId="14" fillId="0" borderId="0"/>
    <xf numFmtId="0" fontId="21" fillId="0" borderId="0"/>
    <xf numFmtId="0" fontId="10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8" fillId="0" borderId="0" applyFont="0" applyFill="0" applyBorder="0" applyAlignment="0" applyProtection="0"/>
    <xf numFmtId="0" fontId="21" fillId="0" borderId="0"/>
    <xf numFmtId="0" fontId="16" fillId="0" borderId="0"/>
    <xf numFmtId="0" fontId="14" fillId="0" borderId="0"/>
    <xf numFmtId="0" fontId="21" fillId="0" borderId="0"/>
    <xf numFmtId="168" fontId="103" fillId="0" borderId="0" applyFont="0" applyFill="0" applyBorder="0" applyAlignment="0" applyProtection="0"/>
    <xf numFmtId="0" fontId="125" fillId="0" borderId="0"/>
    <xf numFmtId="0" fontId="125" fillId="0" borderId="0"/>
    <xf numFmtId="43" fontId="125" fillId="0" borderId="0" applyFont="0" applyFill="0" applyBorder="0" applyAlignment="0" applyProtection="0"/>
    <xf numFmtId="43" fontId="125" fillId="0" borderId="0" applyFont="0" applyFill="0" applyBorder="0" applyAlignment="0" applyProtection="0"/>
    <xf numFmtId="168" fontId="126" fillId="0" borderId="0" applyFont="0" applyFill="0" applyBorder="0" applyAlignment="0" applyProtection="0"/>
  </cellStyleXfs>
  <cellXfs count="665">
    <xf numFmtId="0" fontId="0" fillId="0" borderId="0" xfId="0"/>
    <xf numFmtId="169" fontId="3" fillId="0" borderId="0" xfId="281" applyNumberFormat="1" applyFont="1" applyFill="1" applyAlignment="1"/>
    <xf numFmtId="3" fontId="3" fillId="0" borderId="0" xfId="415" applyNumberFormat="1" applyFont="1" applyFill="1" applyAlignment="1">
      <alignment horizontal="center"/>
    </xf>
    <xf numFmtId="0" fontId="13" fillId="0" borderId="0" xfId="0" applyFont="1" applyFill="1"/>
    <xf numFmtId="0" fontId="1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174" fontId="13" fillId="0" borderId="1" xfId="281" applyNumberFormat="1" applyFont="1" applyFill="1" applyBorder="1" applyAlignment="1">
      <alignment wrapText="1"/>
    </xf>
    <xf numFmtId="174" fontId="3" fillId="0" borderId="1" xfId="281" applyNumberFormat="1" applyFont="1" applyFill="1" applyBorder="1" applyAlignment="1">
      <alignment wrapText="1"/>
    </xf>
    <xf numFmtId="174" fontId="3" fillId="0" borderId="0" xfId="281" applyNumberFormat="1" applyFont="1" applyFill="1" applyAlignment="1"/>
    <xf numFmtId="174" fontId="13" fillId="0" borderId="0" xfId="281" applyNumberFormat="1" applyFont="1" applyFill="1" applyAlignment="1"/>
    <xf numFmtId="0" fontId="3" fillId="0" borderId="0" xfId="415" applyNumberFormat="1" applyFont="1" applyFill="1" applyAlignment="1">
      <alignment horizontal="center" vertical="center"/>
    </xf>
    <xf numFmtId="0" fontId="13" fillId="0" borderId="1" xfId="281" applyNumberFormat="1" applyFont="1" applyFill="1" applyBorder="1" applyAlignment="1">
      <alignment horizontal="center" vertical="center"/>
    </xf>
    <xf numFmtId="0" fontId="3" fillId="0" borderId="1" xfId="281" applyNumberFormat="1" applyFont="1" applyFill="1" applyBorder="1" applyAlignment="1">
      <alignment horizontal="center" vertical="center"/>
    </xf>
    <xf numFmtId="0" fontId="13" fillId="0" borderId="1" xfId="281" quotePrefix="1" applyNumberFormat="1" applyFont="1" applyFill="1" applyBorder="1" applyAlignment="1">
      <alignment horizontal="center" vertical="center"/>
    </xf>
    <xf numFmtId="0" fontId="13" fillId="0" borderId="0" xfId="0" applyNumberFormat="1" applyFont="1" applyFill="1" applyAlignment="1">
      <alignment horizontal="center" vertical="center"/>
    </xf>
    <xf numFmtId="174" fontId="3" fillId="0" borderId="1" xfId="281" applyNumberFormat="1" applyFont="1" applyFill="1" applyBorder="1" applyAlignment="1">
      <alignment horizontal="center" vertical="center" wrapText="1"/>
    </xf>
    <xf numFmtId="0" fontId="106" fillId="0" borderId="0" xfId="0" applyFont="1"/>
    <xf numFmtId="0" fontId="107" fillId="0" borderId="0" xfId="0" applyFont="1"/>
    <xf numFmtId="0" fontId="108" fillId="0" borderId="0" xfId="0" applyFont="1"/>
    <xf numFmtId="0" fontId="108" fillId="0" borderId="0" xfId="0" applyFont="1" applyAlignment="1">
      <alignment horizontal="center"/>
    </xf>
    <xf numFmtId="0" fontId="108" fillId="0" borderId="0" xfId="0" applyFont="1" applyAlignment="1">
      <alignment horizontal="left"/>
    </xf>
    <xf numFmtId="0" fontId="108" fillId="0" borderId="0" xfId="0" applyFont="1" applyAlignment="1"/>
    <xf numFmtId="0" fontId="109" fillId="0" borderId="0" xfId="0" applyFont="1" applyAlignment="1">
      <alignment horizontal="center" vertical="center" wrapText="1"/>
    </xf>
    <xf numFmtId="0" fontId="110" fillId="0" borderId="1" xfId="0" applyFont="1" applyBorder="1" applyAlignment="1">
      <alignment horizontal="center" vertical="center" wrapText="1"/>
    </xf>
    <xf numFmtId="3" fontId="13" fillId="0" borderId="1" xfId="0" applyNumberFormat="1" applyFont="1" applyBorder="1" applyAlignment="1">
      <alignment horizontal="right" vertical="distributed" wrapText="1"/>
    </xf>
    <xf numFmtId="3" fontId="110" fillId="0" borderId="1" xfId="0" applyNumberFormat="1" applyFont="1" applyFill="1" applyBorder="1" applyAlignment="1">
      <alignment vertical="center"/>
    </xf>
    <xf numFmtId="0" fontId="110" fillId="0" borderId="1" xfId="0" applyFont="1" applyFill="1" applyBorder="1" applyAlignment="1">
      <alignment vertical="center"/>
    </xf>
    <xf numFmtId="0" fontId="110" fillId="0" borderId="1" xfId="0" applyFont="1" applyFill="1" applyBorder="1" applyAlignment="1">
      <alignment horizontal="center" vertical="center"/>
    </xf>
    <xf numFmtId="0" fontId="110" fillId="26" borderId="1" xfId="0" applyFont="1" applyFill="1" applyBorder="1" applyAlignment="1">
      <alignment horizontal="center" vertical="center"/>
    </xf>
    <xf numFmtId="3" fontId="109" fillId="0" borderId="1" xfId="0" applyNumberFormat="1" applyFont="1" applyBorder="1" applyAlignment="1">
      <alignment horizontal="right" vertical="center"/>
    </xf>
    <xf numFmtId="0" fontId="108" fillId="0" borderId="0" xfId="0" quotePrefix="1" applyFont="1" applyAlignment="1">
      <alignment horizontal="center"/>
    </xf>
    <xf numFmtId="0" fontId="109" fillId="0" borderId="1" xfId="0" applyFont="1" applyBorder="1" applyAlignment="1">
      <alignment horizontal="center" vertical="center" wrapText="1"/>
    </xf>
    <xf numFmtId="3" fontId="13" fillId="26" borderId="1" xfId="416" applyNumberFormat="1" applyFont="1" applyFill="1" applyBorder="1" applyAlignment="1">
      <alignment horizontal="center" vertical="center" wrapText="1"/>
    </xf>
    <xf numFmtId="174" fontId="13" fillId="0" borderId="0" xfId="281" applyNumberFormat="1" applyFont="1" applyFill="1" applyAlignment="1">
      <alignment vertical="center"/>
    </xf>
    <xf numFmtId="0" fontId="3" fillId="0" borderId="1" xfId="281" quotePrefix="1" applyNumberFormat="1" applyFont="1" applyFill="1" applyBorder="1" applyAlignment="1">
      <alignment horizontal="center" vertical="center"/>
    </xf>
    <xf numFmtId="0" fontId="3" fillId="0" borderId="1" xfId="281" applyNumberFormat="1" applyFont="1" applyFill="1" applyBorder="1" applyAlignment="1">
      <alignment horizontal="center" vertical="center" wrapText="1"/>
    </xf>
    <xf numFmtId="174" fontId="3" fillId="0" borderId="1" xfId="281" applyNumberFormat="1" applyFont="1" applyFill="1" applyBorder="1" applyAlignment="1">
      <alignment horizontal="left" wrapText="1"/>
    </xf>
    <xf numFmtId="0" fontId="110" fillId="0" borderId="16" xfId="0" applyFont="1" applyFill="1" applyBorder="1" applyAlignment="1">
      <alignment horizontal="center" vertical="center" wrapText="1"/>
    </xf>
    <xf numFmtId="0" fontId="111" fillId="26" borderId="1" xfId="0" applyFont="1" applyFill="1" applyBorder="1" applyAlignment="1">
      <alignment vertical="center" wrapText="1"/>
    </xf>
    <xf numFmtId="0" fontId="109" fillId="0" borderId="1" xfId="0" applyFont="1" applyBorder="1" applyAlignment="1">
      <alignment horizontal="center" vertical="center" wrapText="1"/>
    </xf>
    <xf numFmtId="0" fontId="112" fillId="0" borderId="17" xfId="0" applyFont="1" applyBorder="1" applyAlignment="1">
      <alignment horizontal="center" vertical="center"/>
    </xf>
    <xf numFmtId="167" fontId="109" fillId="0" borderId="1" xfId="281" applyFont="1" applyBorder="1" applyAlignment="1">
      <alignment horizontal="right" vertical="center"/>
    </xf>
    <xf numFmtId="49" fontId="13" fillId="0" borderId="1" xfId="394" applyNumberFormat="1" applyFont="1" applyBorder="1" applyAlignment="1">
      <alignment horizontal="center" vertical="center" wrapText="1"/>
      <protection locked="0"/>
    </xf>
    <xf numFmtId="49" fontId="13" fillId="0" borderId="1" xfId="0" applyNumberFormat="1" applyFont="1" applyFill="1" applyBorder="1" applyAlignment="1">
      <alignment horizontal="center" vertical="center" wrapText="1"/>
    </xf>
    <xf numFmtId="0" fontId="3" fillId="0" borderId="0" xfId="403" applyFont="1" applyAlignment="1">
      <alignment vertical="center"/>
    </xf>
    <xf numFmtId="0" fontId="13" fillId="0" borderId="0" xfId="403" applyFont="1" applyAlignment="1">
      <alignment vertical="center"/>
    </xf>
    <xf numFmtId="242" fontId="13" fillId="0" borderId="0" xfId="281" applyNumberFormat="1" applyFont="1" applyAlignment="1">
      <alignment vertical="center"/>
    </xf>
    <xf numFmtId="0" fontId="5" fillId="0" borderId="1" xfId="403" applyFont="1" applyBorder="1" applyAlignment="1">
      <alignment horizontal="center" vertical="center" wrapText="1"/>
    </xf>
    <xf numFmtId="0" fontId="13" fillId="0" borderId="0" xfId="403" applyFont="1" applyAlignment="1">
      <alignment vertical="center" wrapText="1"/>
    </xf>
    <xf numFmtId="242" fontId="13" fillId="0" borderId="0" xfId="281" applyNumberFormat="1" applyFont="1" applyAlignment="1">
      <alignment vertical="center" wrapText="1"/>
    </xf>
    <xf numFmtId="0" fontId="3" fillId="0" borderId="0" xfId="403" applyFont="1" applyAlignment="1">
      <alignment horizontal="center" vertical="center" wrapText="1"/>
    </xf>
    <xf numFmtId="242" fontId="3" fillId="0" borderId="0" xfId="281" applyNumberFormat="1" applyFont="1" applyAlignment="1">
      <alignment horizontal="center" vertical="center" wrapText="1"/>
    </xf>
    <xf numFmtId="242" fontId="3" fillId="0" borderId="0" xfId="281" applyNumberFormat="1" applyFont="1" applyBorder="1" applyAlignment="1">
      <alignment horizontal="right"/>
    </xf>
    <xf numFmtId="242" fontId="3" fillId="0" borderId="0" xfId="281" applyNumberFormat="1" applyFont="1" applyAlignment="1">
      <alignment vertical="center"/>
    </xf>
    <xf numFmtId="0" fontId="113" fillId="0" borderId="0" xfId="403" applyFont="1" applyAlignment="1">
      <alignment vertical="center"/>
    </xf>
    <xf numFmtId="242" fontId="113" fillId="0" borderId="0" xfId="281" applyNumberFormat="1" applyFont="1" applyBorder="1" applyAlignment="1">
      <alignment horizontal="center"/>
    </xf>
    <xf numFmtId="242" fontId="113" fillId="0" borderId="0" xfId="281" applyNumberFormat="1" applyFont="1" applyBorder="1" applyAlignment="1">
      <alignment horizontal="right"/>
    </xf>
    <xf numFmtId="242" fontId="113" fillId="0" borderId="0" xfId="281" applyNumberFormat="1" applyFont="1" applyAlignment="1">
      <alignment vertical="center"/>
    </xf>
    <xf numFmtId="0" fontId="114" fillId="0" borderId="0" xfId="403" applyFont="1" applyAlignment="1">
      <alignment vertical="center"/>
    </xf>
    <xf numFmtId="242" fontId="114" fillId="0" borderId="0" xfId="281" applyNumberFormat="1" applyFont="1" applyBorder="1" applyAlignment="1">
      <alignment horizontal="right"/>
    </xf>
    <xf numFmtId="242" fontId="114" fillId="0" borderId="0" xfId="281" applyNumberFormat="1" applyFont="1" applyAlignment="1">
      <alignment vertical="center"/>
    </xf>
    <xf numFmtId="0" fontId="115" fillId="0" borderId="0" xfId="403" applyFont="1" applyAlignment="1">
      <alignment vertical="center"/>
    </xf>
    <xf numFmtId="167" fontId="113" fillId="0" borderId="0" xfId="281" applyFont="1" applyAlignment="1">
      <alignment vertical="center"/>
    </xf>
    <xf numFmtId="242" fontId="115" fillId="0" borderId="0" xfId="281" applyNumberFormat="1" applyFont="1" applyAlignment="1">
      <alignment vertical="center"/>
    </xf>
    <xf numFmtId="243" fontId="115" fillId="0" borderId="0" xfId="281" applyNumberFormat="1" applyFont="1" applyAlignment="1">
      <alignment vertical="center"/>
    </xf>
    <xf numFmtId="0" fontId="4" fillId="0" borderId="0" xfId="403" applyFont="1" applyAlignment="1">
      <alignment vertical="center"/>
    </xf>
    <xf numFmtId="242" fontId="4" fillId="0" borderId="0" xfId="281" applyNumberFormat="1" applyFont="1" applyAlignment="1">
      <alignment vertical="center"/>
    </xf>
    <xf numFmtId="0" fontId="116" fillId="0" borderId="0" xfId="403" applyFont="1" applyAlignment="1">
      <alignment vertical="center"/>
    </xf>
    <xf numFmtId="242" fontId="113" fillId="0" borderId="0" xfId="281" applyNumberFormat="1" applyFont="1" applyBorder="1" applyAlignment="1">
      <alignment horizontal="center" vertical="center"/>
    </xf>
    <xf numFmtId="242" fontId="117" fillId="0" borderId="0" xfId="281" applyNumberFormat="1" applyFont="1" applyAlignment="1">
      <alignment vertical="center"/>
    </xf>
    <xf numFmtId="0" fontId="117" fillId="0" borderId="0" xfId="403" applyFont="1" applyAlignment="1">
      <alignment vertical="center"/>
    </xf>
    <xf numFmtId="0" fontId="13" fillId="0" borderId="0" xfId="403" applyFont="1" applyAlignment="1">
      <alignment horizontal="justify" vertical="center"/>
    </xf>
    <xf numFmtId="242" fontId="13" fillId="0" borderId="0" xfId="281" applyNumberFormat="1" applyFont="1" applyBorder="1" applyAlignment="1">
      <alignment vertical="center"/>
    </xf>
    <xf numFmtId="0" fontId="3" fillId="0" borderId="0" xfId="403" applyFont="1" applyAlignment="1">
      <alignment horizontal="justify" vertical="center"/>
    </xf>
    <xf numFmtId="0" fontId="23" fillId="26" borderId="0" xfId="422" applyFont="1" applyFill="1"/>
    <xf numFmtId="4" fontId="23" fillId="26" borderId="0" xfId="422" applyNumberFormat="1" applyFont="1" applyFill="1"/>
    <xf numFmtId="0" fontId="5" fillId="26" borderId="0" xfId="383" applyFont="1" applyFill="1" applyAlignment="1">
      <alignment horizontal="center" vertical="center" wrapText="1"/>
    </xf>
    <xf numFmtId="0" fontId="23" fillId="26" borderId="0" xfId="383" applyFont="1" applyFill="1" applyAlignment="1">
      <alignment horizontal="center" vertical="center" wrapText="1"/>
    </xf>
    <xf numFmtId="0" fontId="5" fillId="26" borderId="0" xfId="422" applyFont="1" applyFill="1" applyAlignment="1">
      <alignment horizontal="center" vertical="center" wrapText="1"/>
    </xf>
    <xf numFmtId="0" fontId="5" fillId="26" borderId="0" xfId="422" applyFont="1" applyFill="1" applyAlignment="1">
      <alignment vertical="center"/>
    </xf>
    <xf numFmtId="0" fontId="5" fillId="26" borderId="0" xfId="422" applyFont="1" applyFill="1"/>
    <xf numFmtId="0" fontId="27" fillId="26" borderId="0" xfId="422" applyFont="1" applyFill="1"/>
    <xf numFmtId="0" fontId="28" fillId="26" borderId="0" xfId="422" applyFont="1" applyFill="1"/>
    <xf numFmtId="0" fontId="5" fillId="26" borderId="0" xfId="390" applyFont="1" applyFill="1"/>
    <xf numFmtId="0" fontId="28" fillId="26" borderId="0" xfId="390" applyFont="1" applyFill="1"/>
    <xf numFmtId="0" fontId="27" fillId="26" borderId="0" xfId="390" applyFont="1" applyFill="1"/>
    <xf numFmtId="3" fontId="13" fillId="0" borderId="0" xfId="419" applyFont="1" applyFill="1" applyAlignment="1">
      <alignment horizontal="center" wrapText="1"/>
    </xf>
    <xf numFmtId="3" fontId="13" fillId="0" borderId="0" xfId="419" applyFont="1" applyFill="1" applyBorder="1">
      <alignment wrapText="1"/>
    </xf>
    <xf numFmtId="3" fontId="15" fillId="0" borderId="0" xfId="419" applyFont="1" applyFill="1" applyAlignment="1">
      <alignment horizontal="center" vertical="center" wrapText="1"/>
    </xf>
    <xf numFmtId="0" fontId="5" fillId="26" borderId="1" xfId="419" applyNumberFormat="1" applyFont="1" applyFill="1" applyBorder="1" applyAlignment="1">
      <alignment horizontal="centerContinuous" vertical="center" wrapText="1"/>
    </xf>
    <xf numFmtId="3" fontId="5" fillId="26" borderId="1" xfId="419" applyFont="1" applyFill="1" applyBorder="1" applyAlignment="1">
      <alignment horizontal="centerContinuous" vertical="center" wrapText="1"/>
    </xf>
    <xf numFmtId="3" fontId="5" fillId="26" borderId="1" xfId="419" applyFont="1" applyFill="1" applyBorder="1" applyAlignment="1">
      <alignment horizontal="center" vertical="center" wrapText="1"/>
    </xf>
    <xf numFmtId="3" fontId="5" fillId="26" borderId="1" xfId="419" applyNumberFormat="1" applyFont="1" applyFill="1" applyBorder="1" applyAlignment="1">
      <alignment horizontal="center" vertical="center" wrapText="1"/>
    </xf>
    <xf numFmtId="3" fontId="5" fillId="26" borderId="0" xfId="419" applyFont="1" applyFill="1" applyBorder="1" applyAlignment="1">
      <alignment horizontal="center" vertical="center" wrapText="1"/>
    </xf>
    <xf numFmtId="3" fontId="23" fillId="26" borderId="0" xfId="419" applyFont="1" applyFill="1" applyBorder="1">
      <alignment wrapText="1"/>
    </xf>
    <xf numFmtId="3" fontId="5" fillId="26" borderId="0" xfId="419" applyFont="1" applyFill="1" applyBorder="1" applyAlignment="1">
      <alignment vertical="center" wrapText="1"/>
    </xf>
    <xf numFmtId="3" fontId="118" fillId="26" borderId="0" xfId="419" applyFont="1" applyFill="1" applyBorder="1" applyAlignment="1">
      <alignment horizontal="center" vertical="center" wrapText="1"/>
    </xf>
    <xf numFmtId="3" fontId="118" fillId="26" borderId="0" xfId="419" applyFont="1" applyFill="1" applyBorder="1" applyAlignment="1">
      <alignment vertical="center" wrapText="1"/>
    </xf>
    <xf numFmtId="3" fontId="118" fillId="26" borderId="0" xfId="419" applyFont="1" applyFill="1" applyBorder="1">
      <alignment wrapText="1"/>
    </xf>
    <xf numFmtId="3" fontId="23" fillId="26" borderId="0" xfId="419" applyFont="1" applyFill="1" applyBorder="1" applyAlignment="1">
      <alignment horizontal="center" vertical="center" wrapText="1"/>
    </xf>
    <xf numFmtId="3" fontId="23" fillId="26" borderId="0" xfId="419" applyFont="1" applyFill="1" applyBorder="1" applyAlignment="1">
      <alignment vertical="center" wrapText="1"/>
    </xf>
    <xf numFmtId="3" fontId="119" fillId="26" borderId="0" xfId="419" applyFont="1" applyFill="1" applyBorder="1">
      <alignment wrapText="1"/>
    </xf>
    <xf numFmtId="3" fontId="5" fillId="26" borderId="0" xfId="419" applyFont="1" applyFill="1" applyBorder="1">
      <alignment wrapText="1"/>
    </xf>
    <xf numFmtId="3" fontId="28" fillId="26" borderId="0" xfId="419" applyFont="1" applyFill="1" applyBorder="1" applyAlignment="1">
      <alignment vertical="center" wrapText="1"/>
    </xf>
    <xf numFmtId="3" fontId="120" fillId="26" borderId="0" xfId="419" applyFont="1" applyFill="1" applyBorder="1" applyAlignment="1">
      <alignment horizontal="center" vertical="center" wrapText="1"/>
    </xf>
    <xf numFmtId="3" fontId="120" fillId="26" borderId="0" xfId="419" applyFont="1" applyFill="1" applyBorder="1" applyAlignment="1">
      <alignment vertical="center" wrapText="1"/>
    </xf>
    <xf numFmtId="3" fontId="120" fillId="26" borderId="0" xfId="419" applyFont="1" applyFill="1" applyBorder="1">
      <alignment wrapText="1"/>
    </xf>
    <xf numFmtId="3" fontId="121" fillId="26" borderId="0" xfId="419" applyFont="1" applyFill="1" applyBorder="1" applyAlignment="1">
      <alignment horizontal="center" vertical="center" wrapText="1"/>
    </xf>
    <xf numFmtId="3" fontId="121" fillId="26" borderId="0" xfId="419" applyFont="1" applyFill="1" applyBorder="1">
      <alignment wrapText="1"/>
    </xf>
    <xf numFmtId="3" fontId="122" fillId="26" borderId="0" xfId="419" applyFont="1" applyFill="1" applyBorder="1">
      <alignment wrapText="1"/>
    </xf>
    <xf numFmtId="0" fontId="22" fillId="26" borderId="0" xfId="419" applyNumberFormat="1" applyFont="1" applyFill="1" applyBorder="1" applyAlignment="1">
      <alignment horizontal="center" vertical="center" wrapText="1"/>
    </xf>
    <xf numFmtId="3" fontId="22" fillId="26" borderId="0" xfId="419" applyFont="1" applyFill="1" applyBorder="1" applyAlignment="1">
      <alignment horizontal="center" wrapText="1"/>
    </xf>
    <xf numFmtId="3" fontId="22" fillId="26" borderId="0" xfId="419" applyFont="1" applyFill="1" applyBorder="1">
      <alignment wrapText="1"/>
    </xf>
    <xf numFmtId="0" fontId="13" fillId="26" borderId="0" xfId="419" applyNumberFormat="1" applyFont="1" applyFill="1" applyBorder="1" applyAlignment="1">
      <alignment horizontal="center" wrapText="1"/>
    </xf>
    <xf numFmtId="3" fontId="13" fillId="26" borderId="0" xfId="419" applyFont="1" applyFill="1" applyBorder="1" applyAlignment="1">
      <alignment horizontal="left" wrapText="1"/>
    </xf>
    <xf numFmtId="3" fontId="13" fillId="26" borderId="0" xfId="419" applyFont="1" applyFill="1" applyBorder="1" applyAlignment="1">
      <alignment horizontal="center" wrapText="1"/>
    </xf>
    <xf numFmtId="3" fontId="13" fillId="26" borderId="0" xfId="419" applyNumberFormat="1" applyFont="1" applyFill="1" applyBorder="1" applyAlignment="1">
      <alignment horizontal="center" wrapText="1"/>
    </xf>
    <xf numFmtId="3" fontId="13" fillId="26" borderId="0" xfId="419" applyFont="1" applyFill="1" applyBorder="1">
      <alignment wrapText="1"/>
    </xf>
    <xf numFmtId="0" fontId="13" fillId="0" borderId="0" xfId="419" applyNumberFormat="1" applyFont="1" applyFill="1" applyBorder="1" applyAlignment="1">
      <alignment horizontal="center" wrapText="1"/>
    </xf>
    <xf numFmtId="3" fontId="13" fillId="0" borderId="0" xfId="419" applyFont="1" applyFill="1" applyBorder="1" applyAlignment="1">
      <alignment horizontal="left" wrapText="1"/>
    </xf>
    <xf numFmtId="3" fontId="13" fillId="0" borderId="0" xfId="419" applyFont="1" applyFill="1" applyBorder="1" applyAlignment="1">
      <alignment horizontal="center" wrapText="1"/>
    </xf>
    <xf numFmtId="3" fontId="13" fillId="0" borderId="0" xfId="419" applyNumberFormat="1" applyFont="1" applyFill="1" applyBorder="1" applyAlignment="1">
      <alignment horizontal="center" wrapText="1"/>
    </xf>
    <xf numFmtId="0" fontId="13" fillId="0" borderId="0" xfId="419" applyNumberFormat="1" applyFont="1" applyFill="1" applyAlignment="1">
      <alignment horizontal="center" wrapText="1"/>
    </xf>
    <xf numFmtId="3" fontId="13" fillId="0" borderId="0" xfId="419" applyFont="1" applyFill="1" applyAlignment="1">
      <alignment horizontal="left" wrapText="1"/>
    </xf>
    <xf numFmtId="3" fontId="13" fillId="0" borderId="0" xfId="419" applyNumberFormat="1" applyFont="1" applyFill="1" applyAlignment="1">
      <alignment horizontal="center" wrapText="1"/>
    </xf>
    <xf numFmtId="0" fontId="33" fillId="0" borderId="0" xfId="420" applyFont="1" applyFill="1"/>
    <xf numFmtId="0" fontId="33" fillId="0" borderId="0" xfId="420" applyFont="1" applyFill="1" applyAlignment="1">
      <alignment horizontal="center" vertical="center"/>
    </xf>
    <xf numFmtId="0" fontId="33" fillId="0" borderId="0" xfId="420" applyFont="1" applyFill="1" applyAlignment="1">
      <alignment vertical="center"/>
    </xf>
    <xf numFmtId="3" fontId="102" fillId="0" borderId="0" xfId="420" applyNumberFormat="1" applyFont="1" applyFill="1" applyAlignment="1">
      <alignment vertical="center"/>
    </xf>
    <xf numFmtId="3" fontId="33" fillId="0" borderId="0" xfId="420" applyNumberFormat="1" applyFont="1" applyFill="1" applyAlignment="1">
      <alignment vertical="center"/>
    </xf>
    <xf numFmtId="0" fontId="5" fillId="0" borderId="1" xfId="420" applyFont="1" applyFill="1" applyBorder="1" applyAlignment="1">
      <alignment horizontal="center" vertical="center" wrapText="1"/>
    </xf>
    <xf numFmtId="0" fontId="5" fillId="0" borderId="0" xfId="420" applyFont="1" applyFill="1"/>
    <xf numFmtId="0" fontId="23" fillId="0" borderId="6" xfId="420" applyFont="1" applyFill="1" applyBorder="1" applyAlignment="1">
      <alignment horizontal="center" vertical="center" wrapText="1"/>
    </xf>
    <xf numFmtId="0" fontId="5" fillId="0" borderId="6" xfId="420" applyFont="1" applyFill="1" applyBorder="1" applyAlignment="1">
      <alignment horizontal="center" vertical="center" wrapText="1"/>
    </xf>
    <xf numFmtId="242" fontId="5" fillId="0" borderId="6" xfId="281" applyNumberFormat="1" applyFont="1" applyFill="1" applyBorder="1" applyAlignment="1">
      <alignment horizontal="right" vertical="center" wrapText="1"/>
    </xf>
    <xf numFmtId="0" fontId="23" fillId="0" borderId="0" xfId="420" applyFont="1" applyFill="1" applyAlignment="1">
      <alignment vertical="center" wrapText="1"/>
    </xf>
    <xf numFmtId="242" fontId="5" fillId="0" borderId="18" xfId="281" applyNumberFormat="1" applyFont="1" applyFill="1" applyBorder="1" applyAlignment="1">
      <alignment horizontal="right" vertical="center" wrapText="1"/>
    </xf>
    <xf numFmtId="0" fontId="23" fillId="0" borderId="18" xfId="420" quotePrefix="1" applyFont="1" applyFill="1" applyBorder="1" applyAlignment="1">
      <alignment horizontal="center" vertical="center" wrapText="1"/>
    </xf>
    <xf numFmtId="242" fontId="23" fillId="0" borderId="18" xfId="281" applyNumberFormat="1" applyFont="1" applyFill="1" applyBorder="1" applyAlignment="1">
      <alignment horizontal="right" vertical="center" wrapText="1"/>
    </xf>
    <xf numFmtId="0" fontId="23" fillId="0" borderId="19" xfId="420" quotePrefix="1" applyFont="1" applyFill="1" applyBorder="1" applyAlignment="1">
      <alignment horizontal="center" vertical="center" wrapText="1"/>
    </xf>
    <xf numFmtId="242" fontId="23" fillId="0" borderId="19" xfId="281" applyNumberFormat="1" applyFont="1" applyFill="1" applyBorder="1" applyAlignment="1">
      <alignment horizontal="right" vertical="center" wrapText="1"/>
    </xf>
    <xf numFmtId="0" fontId="118" fillId="0" borderId="0" xfId="420" applyFont="1" applyFill="1" applyAlignment="1">
      <alignment vertical="center" wrapText="1"/>
    </xf>
    <xf numFmtId="3" fontId="118" fillId="0" borderId="0" xfId="420" applyNumberFormat="1" applyFont="1" applyFill="1" applyAlignment="1">
      <alignment vertical="center" wrapText="1"/>
    </xf>
    <xf numFmtId="0" fontId="22" fillId="0" borderId="20" xfId="420" applyFont="1" applyFill="1" applyBorder="1" applyAlignment="1">
      <alignment horizontal="center"/>
    </xf>
    <xf numFmtId="0" fontId="22" fillId="0" borderId="20" xfId="420" applyFont="1" applyFill="1" applyBorder="1"/>
    <xf numFmtId="3" fontId="22" fillId="0" borderId="20" xfId="420" applyNumberFormat="1" applyFont="1" applyFill="1" applyBorder="1" applyAlignment="1"/>
    <xf numFmtId="3" fontId="22" fillId="0" borderId="20" xfId="420" applyNumberFormat="1" applyFont="1" applyFill="1" applyBorder="1"/>
    <xf numFmtId="0" fontId="22" fillId="0" borderId="0" xfId="420" applyFont="1" applyFill="1"/>
    <xf numFmtId="3" fontId="22" fillId="0" borderId="0" xfId="420" applyNumberFormat="1" applyFont="1" applyFill="1" applyAlignment="1">
      <alignment vertical="center" wrapText="1"/>
    </xf>
    <xf numFmtId="0" fontId="33" fillId="0" borderId="0" xfId="420" applyFont="1" applyFill="1" applyAlignment="1">
      <alignment horizontal="center"/>
    </xf>
    <xf numFmtId="3" fontId="33" fillId="0" borderId="0" xfId="420" applyNumberFormat="1" applyFont="1" applyFill="1" applyBorder="1" applyAlignment="1"/>
    <xf numFmtId="3" fontId="33" fillId="0" borderId="0" xfId="420" applyNumberFormat="1" applyFont="1" applyFill="1"/>
    <xf numFmtId="169" fontId="33" fillId="0" borderId="0" xfId="420" applyNumberFormat="1" applyFont="1" applyFill="1"/>
    <xf numFmtId="0" fontId="24" fillId="0" borderId="18" xfId="420" applyFont="1" applyBorder="1" applyAlignment="1">
      <alignment horizontal="center" vertical="center" wrapText="1"/>
    </xf>
    <xf numFmtId="0" fontId="24" fillId="0" borderId="18" xfId="420" applyFont="1" applyBorder="1" applyAlignment="1">
      <alignment vertical="center" wrapText="1"/>
    </xf>
    <xf numFmtId="0" fontId="22" fillId="0" borderId="18" xfId="420" applyFont="1" applyBorder="1" applyAlignment="1">
      <alignment vertical="center" wrapText="1"/>
    </xf>
    <xf numFmtId="3" fontId="123" fillId="26" borderId="0" xfId="419" applyFont="1" applyFill="1" applyBorder="1" applyAlignment="1">
      <alignment horizontal="center" vertical="center" wrapText="1"/>
    </xf>
    <xf numFmtId="3" fontId="123" fillId="26" borderId="0" xfId="419" applyFont="1" applyFill="1" applyBorder="1" applyAlignment="1">
      <alignment vertical="center" wrapText="1"/>
    </xf>
    <xf numFmtId="0" fontId="5" fillId="0" borderId="1" xfId="403" applyFont="1" applyBorder="1" applyAlignment="1">
      <alignment horizontal="justify" vertical="center" wrapText="1"/>
    </xf>
    <xf numFmtId="0" fontId="5" fillId="0" borderId="1" xfId="413" applyFont="1" applyBorder="1" applyAlignment="1">
      <alignment horizontal="center" vertical="center"/>
    </xf>
    <xf numFmtId="0" fontId="5" fillId="0" borderId="1" xfId="413" applyFont="1" applyBorder="1" applyAlignment="1">
      <alignment horizontal="justify" vertical="center" wrapText="1"/>
    </xf>
    <xf numFmtId="171" fontId="5" fillId="0" borderId="1" xfId="413" applyNumberFormat="1" applyFont="1" applyBorder="1" applyAlignment="1">
      <alignment vertical="center"/>
    </xf>
    <xf numFmtId="0" fontId="28" fillId="0" borderId="1" xfId="418" applyFont="1" applyBorder="1" applyAlignment="1">
      <alignment horizontal="center" vertical="center"/>
    </xf>
    <xf numFmtId="0" fontId="28" fillId="0" borderId="1" xfId="418" applyFont="1" applyBorder="1" applyAlignment="1">
      <alignment horizontal="justify" vertical="center" wrapText="1"/>
    </xf>
    <xf numFmtId="171" fontId="28" fillId="0" borderId="1" xfId="418" applyNumberFormat="1" applyFont="1" applyBorder="1" applyAlignment="1">
      <alignment horizontal="right" vertical="center"/>
    </xf>
    <xf numFmtId="0" fontId="27" fillId="0" borderId="1" xfId="418" applyFont="1" applyBorder="1" applyAlignment="1">
      <alignment horizontal="center" vertical="center"/>
    </xf>
    <xf numFmtId="0" fontId="23" fillId="0" borderId="1" xfId="418" applyFont="1" applyBorder="1" applyAlignment="1">
      <alignment vertical="center" wrapText="1"/>
    </xf>
    <xf numFmtId="0" fontId="23" fillId="0" borderId="1" xfId="418" applyFont="1" applyBorder="1" applyAlignment="1">
      <alignment horizontal="center" vertical="center"/>
    </xf>
    <xf numFmtId="171" fontId="23" fillId="0" borderId="1" xfId="418" applyNumberFormat="1" applyFont="1" applyBorder="1" applyAlignment="1">
      <alignment horizontal="right" vertical="center"/>
    </xf>
    <xf numFmtId="171" fontId="23" fillId="0" borderId="1" xfId="413" applyNumberFormat="1" applyFont="1" applyFill="1" applyBorder="1" applyAlignment="1">
      <alignment horizontal="right" vertical="center"/>
    </xf>
    <xf numFmtId="0" fontId="23" fillId="0" borderId="1" xfId="418" quotePrefix="1" applyFont="1" applyBorder="1" applyAlignment="1">
      <alignment vertical="center" wrapText="1"/>
    </xf>
    <xf numFmtId="3" fontId="28" fillId="0" borderId="1" xfId="413" applyNumberFormat="1" applyFont="1" applyFill="1" applyBorder="1" applyAlignment="1">
      <alignment vertical="center"/>
    </xf>
    <xf numFmtId="0" fontId="28" fillId="0" borderId="1" xfId="418" applyFont="1" applyBorder="1" applyAlignment="1">
      <alignment vertical="center" wrapText="1"/>
    </xf>
    <xf numFmtId="4" fontId="5" fillId="0" borderId="1" xfId="418" applyNumberFormat="1" applyFont="1" applyBorder="1" applyAlignment="1">
      <alignment horizontal="right" vertical="center"/>
    </xf>
    <xf numFmtId="0" fontId="23" fillId="0" borderId="1" xfId="413" applyFont="1" applyBorder="1" applyAlignment="1">
      <alignment horizontal="center" vertical="center"/>
    </xf>
    <xf numFmtId="0" fontId="23" fillId="0" borderId="1" xfId="413" applyFont="1" applyBorder="1" applyAlignment="1">
      <alignment vertical="center" wrapText="1"/>
    </xf>
    <xf numFmtId="4" fontId="23" fillId="0" borderId="1" xfId="418" applyNumberFormat="1" applyFont="1" applyBorder="1" applyAlignment="1">
      <alignment horizontal="right" vertical="center"/>
    </xf>
    <xf numFmtId="4" fontId="23" fillId="0" borderId="1" xfId="413" applyNumberFormat="1" applyFont="1" applyFill="1" applyBorder="1" applyAlignment="1">
      <alignment horizontal="right" vertical="center"/>
    </xf>
    <xf numFmtId="0" fontId="23" fillId="0" borderId="1" xfId="413" quotePrefix="1" applyFont="1" applyBorder="1" applyAlignment="1">
      <alignment vertical="center" wrapText="1"/>
    </xf>
    <xf numFmtId="244" fontId="28" fillId="0" borderId="1" xfId="413" applyNumberFormat="1" applyFont="1" applyBorder="1" applyAlignment="1">
      <alignment horizontal="center" vertical="center" wrapText="1"/>
    </xf>
    <xf numFmtId="244" fontId="28" fillId="0" borderId="1" xfId="413" applyNumberFormat="1" applyFont="1" applyBorder="1" applyAlignment="1">
      <alignment horizontal="justify" vertical="center" wrapText="1"/>
    </xf>
    <xf numFmtId="244" fontId="28" fillId="0" borderId="1" xfId="413" applyNumberFormat="1" applyFont="1" applyBorder="1" applyAlignment="1">
      <alignment horizontal="center" vertical="center"/>
    </xf>
    <xf numFmtId="0" fontId="27" fillId="0" borderId="1" xfId="413" applyFont="1" applyBorder="1" applyAlignment="1">
      <alignment horizontal="center" vertical="center"/>
    </xf>
    <xf numFmtId="0" fontId="23" fillId="0" borderId="1" xfId="0" quotePrefix="1" applyFont="1" applyBorder="1" applyAlignment="1">
      <alignment horizontal="left" vertical="center" wrapText="1"/>
    </xf>
    <xf numFmtId="0" fontId="23" fillId="0" borderId="1" xfId="0" applyFont="1" applyBorder="1" applyAlignment="1">
      <alignment horizontal="center" vertical="center" wrapText="1"/>
    </xf>
    <xf numFmtId="0" fontId="28" fillId="0" borderId="1" xfId="413" applyFont="1" applyBorder="1" applyAlignment="1">
      <alignment horizontal="center" vertical="center"/>
    </xf>
    <xf numFmtId="0" fontId="28" fillId="0" borderId="1" xfId="413" applyFont="1" applyBorder="1" applyAlignment="1">
      <alignment horizontal="justify" vertical="center" wrapText="1"/>
    </xf>
    <xf numFmtId="171" fontId="28" fillId="0" borderId="1" xfId="413" applyNumberFormat="1" applyFont="1" applyBorder="1" applyAlignment="1">
      <alignment vertical="center"/>
    </xf>
    <xf numFmtId="0" fontId="5" fillId="0" borderId="1" xfId="0" quotePrefix="1" applyFont="1" applyBorder="1" applyAlignment="1">
      <alignment horizontal="left" vertical="center" wrapText="1"/>
    </xf>
    <xf numFmtId="0" fontId="5" fillId="0" borderId="1" xfId="0" applyFont="1" applyBorder="1" applyAlignment="1">
      <alignment horizontal="center" vertical="center" wrapText="1"/>
    </xf>
    <xf numFmtId="49" fontId="13" fillId="26" borderId="1" xfId="417" quotePrefix="1" applyNumberFormat="1" applyFont="1" applyFill="1" applyBorder="1" applyAlignment="1">
      <alignment horizontal="justify" vertical="center" wrapText="1"/>
    </xf>
    <xf numFmtId="0" fontId="13" fillId="26" borderId="1" xfId="417" applyFont="1" applyFill="1" applyBorder="1" applyAlignment="1">
      <alignment horizontal="center" vertical="center"/>
    </xf>
    <xf numFmtId="167" fontId="13" fillId="26" borderId="1" xfId="281" applyFont="1" applyFill="1" applyBorder="1" applyAlignment="1">
      <alignment horizontal="center" vertical="center" wrapText="1"/>
    </xf>
    <xf numFmtId="167" fontId="13" fillId="26" borderId="1" xfId="281" quotePrefix="1" applyFont="1" applyFill="1" applyBorder="1" applyAlignment="1">
      <alignment horizontal="center" vertical="center" wrapText="1"/>
    </xf>
    <xf numFmtId="49" fontId="13" fillId="0" borderId="1" xfId="417" quotePrefix="1" applyNumberFormat="1" applyFont="1" applyFill="1" applyBorder="1" applyAlignment="1">
      <alignment horizontal="justify" vertical="center" wrapText="1"/>
    </xf>
    <xf numFmtId="0" fontId="13" fillId="0" borderId="1" xfId="417" applyFont="1" applyFill="1" applyBorder="1" applyAlignment="1">
      <alignment horizontal="center" vertical="center"/>
    </xf>
    <xf numFmtId="242" fontId="13" fillId="26" borderId="1" xfId="281" applyNumberFormat="1" applyFont="1" applyFill="1" applyBorder="1" applyAlignment="1">
      <alignment horizontal="center" vertical="center" wrapText="1"/>
    </xf>
    <xf numFmtId="49" fontId="13" fillId="0" borderId="1" xfId="417" applyNumberFormat="1" applyFont="1" applyFill="1" applyBorder="1" applyAlignment="1">
      <alignment horizontal="justify" vertical="center" wrapText="1"/>
    </xf>
    <xf numFmtId="49" fontId="3" fillId="0" borderId="1" xfId="417" applyNumberFormat="1" applyFont="1" applyFill="1" applyBorder="1" applyAlignment="1">
      <alignment horizontal="justify" vertical="center" wrapText="1"/>
    </xf>
    <xf numFmtId="0" fontId="13" fillId="0" borderId="1" xfId="395" applyFont="1" applyFill="1" applyBorder="1" applyAlignment="1">
      <alignment horizontal="center" vertical="center" wrapText="1"/>
    </xf>
    <xf numFmtId="0" fontId="13" fillId="0" borderId="1" xfId="403" applyFont="1" applyBorder="1" applyAlignment="1">
      <alignment horizontal="center" vertical="center"/>
    </xf>
    <xf numFmtId="0" fontId="5" fillId="26" borderId="1" xfId="422" applyFont="1" applyFill="1" applyBorder="1" applyAlignment="1">
      <alignment horizontal="center" vertical="center" wrapText="1"/>
    </xf>
    <xf numFmtId="4" fontId="5" fillId="26" borderId="1" xfId="422" applyNumberFormat="1" applyFont="1" applyFill="1" applyBorder="1" applyAlignment="1">
      <alignment horizontal="center" vertical="center" wrapText="1"/>
    </xf>
    <xf numFmtId="0" fontId="5" fillId="26" borderId="1" xfId="422" applyFont="1" applyFill="1" applyBorder="1" applyAlignment="1">
      <alignment horizontal="center" vertical="center"/>
    </xf>
    <xf numFmtId="0" fontId="23" fillId="26" borderId="1" xfId="422" applyFont="1" applyFill="1" applyBorder="1" applyAlignment="1">
      <alignment horizontal="center" vertical="center"/>
    </xf>
    <xf numFmtId="4" fontId="5" fillId="26" borderId="1" xfId="422" applyNumberFormat="1" applyFont="1" applyFill="1" applyBorder="1" applyAlignment="1">
      <alignment horizontal="center" vertical="center"/>
    </xf>
    <xf numFmtId="0" fontId="5" fillId="26" borderId="1" xfId="422" applyFont="1" applyFill="1" applyBorder="1"/>
    <xf numFmtId="0" fontId="5" fillId="26" borderId="1" xfId="422" applyFont="1" applyFill="1" applyBorder="1" applyAlignment="1">
      <alignment vertical="center" wrapText="1"/>
    </xf>
    <xf numFmtId="171" fontId="5" fillId="26" borderId="1" xfId="413" applyNumberFormat="1" applyFont="1" applyFill="1" applyBorder="1" applyAlignment="1">
      <alignment horizontal="right" vertical="center"/>
    </xf>
    <xf numFmtId="4" fontId="5" fillId="26" borderId="1" xfId="413" applyNumberFormat="1" applyFont="1" applyFill="1" applyBorder="1" applyAlignment="1">
      <alignment horizontal="right" vertical="center"/>
    </xf>
    <xf numFmtId="0" fontId="27" fillId="26" borderId="1" xfId="422" applyFont="1" applyFill="1" applyBorder="1" applyAlignment="1">
      <alignment horizontal="center" vertical="center"/>
    </xf>
    <xf numFmtId="0" fontId="27" fillId="26" borderId="1" xfId="422" applyFont="1" applyFill="1" applyBorder="1" applyAlignment="1">
      <alignment horizontal="left" vertical="center"/>
    </xf>
    <xf numFmtId="171" fontId="23" fillId="26" borderId="1" xfId="413" applyNumberFormat="1" applyFont="1" applyFill="1" applyBorder="1" applyAlignment="1">
      <alignment horizontal="right" vertical="center"/>
    </xf>
    <xf numFmtId="4" fontId="23" fillId="26" borderId="1" xfId="413" applyNumberFormat="1" applyFont="1" applyFill="1" applyBorder="1" applyAlignment="1">
      <alignment horizontal="right" vertical="center"/>
    </xf>
    <xf numFmtId="0" fontId="5" fillId="26" borderId="1" xfId="422" applyFont="1" applyFill="1" applyBorder="1" applyAlignment="1">
      <alignment vertical="center"/>
    </xf>
    <xf numFmtId="0" fontId="23" fillId="26" borderId="1" xfId="422" applyFont="1" applyFill="1" applyBorder="1" applyAlignment="1">
      <alignment horizontal="left" vertical="center"/>
    </xf>
    <xf numFmtId="0" fontId="23" fillId="26" borderId="1" xfId="422" applyFont="1" applyFill="1" applyBorder="1" applyAlignment="1">
      <alignment vertical="center"/>
    </xf>
    <xf numFmtId="0" fontId="27" fillId="26" borderId="1" xfId="422" applyFont="1" applyFill="1" applyBorder="1" applyAlignment="1">
      <alignment vertical="center"/>
    </xf>
    <xf numFmtId="0" fontId="28" fillId="26" borderId="1" xfId="422" applyFont="1" applyFill="1" applyBorder="1" applyAlignment="1">
      <alignment horizontal="center" vertical="center"/>
    </xf>
    <xf numFmtId="0" fontId="28" fillId="26" borderId="1" xfId="422" applyFont="1" applyFill="1" applyBorder="1" applyAlignment="1">
      <alignment vertical="center"/>
    </xf>
    <xf numFmtId="171" fontId="5" fillId="26" borderId="1" xfId="281" applyNumberFormat="1" applyFont="1" applyFill="1" applyBorder="1" applyAlignment="1">
      <alignment horizontal="right" vertical="center"/>
    </xf>
    <xf numFmtId="245" fontId="5" fillId="26" borderId="1" xfId="281" applyNumberFormat="1" applyFont="1" applyFill="1" applyBorder="1" applyAlignment="1">
      <alignment horizontal="right" vertical="center"/>
    </xf>
    <xf numFmtId="245" fontId="28" fillId="26" borderId="1" xfId="281" applyNumberFormat="1" applyFont="1" applyFill="1" applyBorder="1" applyAlignment="1">
      <alignment horizontal="right" vertical="center"/>
    </xf>
    <xf numFmtId="245" fontId="28" fillId="26" borderId="1" xfId="281" applyNumberFormat="1" applyFont="1" applyFill="1" applyBorder="1" applyAlignment="1">
      <alignment horizontal="right"/>
    </xf>
    <xf numFmtId="171" fontId="23" fillId="26" borderId="1" xfId="281" applyNumberFormat="1" applyFont="1" applyFill="1" applyBorder="1" applyAlignment="1">
      <alignment horizontal="right" vertical="center"/>
    </xf>
    <xf numFmtId="245" fontId="23" fillId="26" borderId="1" xfId="281" applyNumberFormat="1" applyFont="1" applyFill="1" applyBorder="1" applyAlignment="1">
      <alignment horizontal="right" vertical="center"/>
    </xf>
    <xf numFmtId="245" fontId="23" fillId="26" borderId="1" xfId="281" applyNumberFormat="1" applyFont="1" applyFill="1" applyBorder="1" applyAlignment="1">
      <alignment horizontal="right"/>
    </xf>
    <xf numFmtId="0" fontId="23" fillId="26" borderId="1" xfId="422" applyFont="1" applyFill="1" applyBorder="1" applyAlignment="1">
      <alignment vertical="center" wrapText="1"/>
    </xf>
    <xf numFmtId="0" fontId="23" fillId="26" borderId="1" xfId="422" quotePrefix="1" applyFont="1" applyFill="1" applyBorder="1" applyAlignment="1">
      <alignment horizontal="center" vertical="center"/>
    </xf>
    <xf numFmtId="0" fontId="23" fillId="26" borderId="1" xfId="398" applyFont="1" applyFill="1" applyBorder="1" applyAlignment="1">
      <alignment horizontal="center" vertical="center"/>
    </xf>
    <xf numFmtId="0" fontId="23" fillId="26" borderId="1" xfId="398" applyFont="1" applyFill="1" applyBorder="1" applyAlignment="1">
      <alignment vertical="center"/>
    </xf>
    <xf numFmtId="0" fontId="27" fillId="26" borderId="1" xfId="398" applyFont="1" applyFill="1" applyBorder="1" applyAlignment="1">
      <alignment horizontal="center" vertical="center"/>
    </xf>
    <xf numFmtId="0" fontId="27" fillId="26" borderId="1" xfId="398" applyFont="1" applyFill="1" applyBorder="1" applyAlignment="1">
      <alignment vertical="center"/>
    </xf>
    <xf numFmtId="0" fontId="23" fillId="26" borderId="1" xfId="422" applyFont="1" applyFill="1" applyBorder="1"/>
    <xf numFmtId="0" fontId="23" fillId="26" borderId="1" xfId="422" quotePrefix="1" applyFont="1" applyFill="1" applyBorder="1" applyAlignment="1">
      <alignment vertical="center" wrapText="1"/>
    </xf>
    <xf numFmtId="0" fontId="3" fillId="0" borderId="1" xfId="417" applyFont="1" applyBorder="1" applyAlignment="1">
      <alignment horizontal="center" vertical="center"/>
    </xf>
    <xf numFmtId="0" fontId="3" fillId="0" borderId="1" xfId="417" applyFont="1" applyFill="1" applyBorder="1" applyAlignment="1">
      <alignment horizontal="justify" vertical="center" wrapText="1"/>
    </xf>
    <xf numFmtId="246" fontId="5" fillId="26" borderId="1" xfId="419" applyNumberFormat="1" applyFont="1" applyFill="1" applyBorder="1" applyAlignment="1">
      <alignment horizontal="center" vertical="center"/>
    </xf>
    <xf numFmtId="3" fontId="5" fillId="26" borderId="1" xfId="419" applyNumberFormat="1" applyFont="1" applyFill="1" applyBorder="1" applyAlignment="1">
      <alignment horizontal="center" vertical="center"/>
    </xf>
    <xf numFmtId="0" fontId="13" fillId="0" borderId="1" xfId="417" applyFont="1" applyBorder="1" applyAlignment="1">
      <alignment horizontal="center" vertical="top"/>
    </xf>
    <xf numFmtId="0" fontId="13" fillId="0" borderId="1" xfId="417" applyFont="1" applyFill="1" applyBorder="1" applyAlignment="1">
      <alignment horizontal="justify" vertical="center" wrapText="1"/>
    </xf>
    <xf numFmtId="0" fontId="13" fillId="0" borderId="1" xfId="417" applyFont="1" applyFill="1" applyBorder="1" applyAlignment="1">
      <alignment horizontal="center" vertical="center" wrapText="1"/>
    </xf>
    <xf numFmtId="3" fontId="23" fillId="26" borderId="1" xfId="419" applyFont="1" applyFill="1" applyBorder="1" applyAlignment="1">
      <alignment horizontal="center" vertical="center" wrapText="1"/>
    </xf>
    <xf numFmtId="0" fontId="13" fillId="0" borderId="1" xfId="413" applyFont="1" applyBorder="1" applyAlignment="1">
      <alignment horizontal="center" vertical="center"/>
    </xf>
    <xf numFmtId="0" fontId="3" fillId="0" borderId="1" xfId="413" applyFont="1" applyBorder="1" applyAlignment="1">
      <alignment horizontal="center" vertical="center"/>
    </xf>
    <xf numFmtId="245" fontId="3" fillId="26" borderId="1" xfId="281" applyNumberFormat="1" applyFont="1" applyFill="1" applyBorder="1" applyAlignment="1">
      <alignment horizontal="center" vertical="center" wrapText="1"/>
    </xf>
    <xf numFmtId="0" fontId="13" fillId="0" borderId="1" xfId="417" quotePrefix="1" applyFont="1" applyBorder="1" applyAlignment="1">
      <alignment horizontal="center" vertical="top"/>
    </xf>
    <xf numFmtId="241" fontId="13" fillId="26" borderId="1" xfId="281" applyNumberFormat="1" applyFont="1" applyFill="1" applyBorder="1" applyAlignment="1">
      <alignment horizontal="center" vertical="center" wrapText="1"/>
    </xf>
    <xf numFmtId="0" fontId="3" fillId="0" borderId="1" xfId="417" quotePrefix="1" applyFont="1" applyFill="1" applyBorder="1" applyAlignment="1">
      <alignment horizontal="justify" vertical="center" wrapText="1"/>
    </xf>
    <xf numFmtId="0" fontId="3" fillId="0" borderId="1" xfId="417" applyFont="1" applyFill="1" applyBorder="1" applyAlignment="1">
      <alignment horizontal="center" vertical="center" wrapText="1"/>
    </xf>
    <xf numFmtId="246" fontId="23" fillId="26" borderId="1" xfId="419" applyNumberFormat="1" applyFont="1" applyFill="1" applyBorder="1" applyAlignment="1">
      <alignment horizontal="center" vertical="center"/>
    </xf>
    <xf numFmtId="3" fontId="23" fillId="26" borderId="1" xfId="294" quotePrefix="1" applyNumberFormat="1" applyFont="1" applyFill="1" applyBorder="1" applyAlignment="1">
      <alignment horizontal="center" vertical="center"/>
    </xf>
    <xf numFmtId="0" fontId="13" fillId="0" borderId="1" xfId="417" applyFont="1" applyBorder="1" applyAlignment="1">
      <alignment horizontal="center" vertical="center"/>
    </xf>
    <xf numFmtId="0" fontId="4" fillId="0" borderId="1" xfId="417" applyFont="1" applyBorder="1" applyAlignment="1">
      <alignment horizontal="center" vertical="top"/>
    </xf>
    <xf numFmtId="49" fontId="4" fillId="0" borderId="1" xfId="417" applyNumberFormat="1" applyFont="1" applyFill="1" applyBorder="1" applyAlignment="1">
      <alignment horizontal="justify" vertical="center" wrapText="1"/>
    </xf>
    <xf numFmtId="0" fontId="4" fillId="0" borderId="1" xfId="417" applyFont="1" applyFill="1" applyBorder="1" applyAlignment="1">
      <alignment horizontal="center" vertical="center"/>
    </xf>
    <xf numFmtId="0" fontId="3" fillId="26" borderId="1" xfId="417" applyFont="1" applyFill="1" applyBorder="1" applyAlignment="1">
      <alignment horizontal="center" vertical="center" wrapText="1"/>
    </xf>
    <xf numFmtId="49" fontId="3" fillId="26" borderId="1" xfId="417" applyNumberFormat="1" applyFont="1" applyFill="1" applyBorder="1" applyAlignment="1">
      <alignment horizontal="justify" vertical="center" wrapText="1"/>
    </xf>
    <xf numFmtId="3" fontId="3" fillId="26" borderId="1" xfId="413" applyNumberFormat="1" applyFont="1" applyFill="1" applyBorder="1" applyAlignment="1">
      <alignment horizontal="center" vertical="center"/>
    </xf>
    <xf numFmtId="0" fontId="13" fillId="26" borderId="1" xfId="417" applyFont="1" applyFill="1" applyBorder="1" applyAlignment="1">
      <alignment horizontal="center" vertical="center" wrapText="1"/>
    </xf>
    <xf numFmtId="49" fontId="13" fillId="26" borderId="1" xfId="417" applyNumberFormat="1" applyFont="1" applyFill="1" applyBorder="1" applyAlignment="1">
      <alignment horizontal="justify" vertical="center" wrapText="1"/>
    </xf>
    <xf numFmtId="3" fontId="27" fillId="26" borderId="1" xfId="419" applyFont="1" applyFill="1" applyBorder="1" applyAlignment="1">
      <alignment horizontal="center" vertical="center" wrapText="1"/>
    </xf>
    <xf numFmtId="0" fontId="3" fillId="26" borderId="1" xfId="417" applyFont="1" applyFill="1" applyBorder="1" applyAlignment="1">
      <alignment horizontal="center" vertical="center"/>
    </xf>
    <xf numFmtId="0" fontId="27" fillId="26" borderId="1" xfId="387" applyFont="1" applyFill="1" applyBorder="1" applyAlignment="1">
      <alignment horizontal="center" vertical="center"/>
    </xf>
    <xf numFmtId="176" fontId="23" fillId="26" borderId="1" xfId="387" applyNumberFormat="1" applyFont="1" applyFill="1" applyBorder="1" applyAlignment="1">
      <alignment horizontal="center" vertical="center" wrapText="1"/>
    </xf>
    <xf numFmtId="172" fontId="13" fillId="0" borderId="1" xfId="417" applyNumberFormat="1" applyFont="1" applyBorder="1" applyAlignment="1">
      <alignment horizontal="center" vertical="center"/>
    </xf>
    <xf numFmtId="0" fontId="3" fillId="0" borderId="1" xfId="417" applyFont="1" applyBorder="1" applyAlignment="1">
      <alignment horizontal="center" vertical="center" wrapText="1"/>
    </xf>
    <xf numFmtId="0" fontId="3" fillId="0" borderId="1" xfId="417" applyFont="1" applyFill="1" applyBorder="1" applyAlignment="1">
      <alignment horizontal="center" vertical="center"/>
    </xf>
    <xf numFmtId="3" fontId="5" fillId="26" borderId="1" xfId="419" applyFont="1" applyFill="1" applyBorder="1" applyAlignment="1">
      <alignment horizontal="center" vertical="center"/>
    </xf>
    <xf numFmtId="3" fontId="5" fillId="26" borderId="1" xfId="419" quotePrefix="1" applyNumberFormat="1" applyFont="1" applyFill="1" applyBorder="1" applyAlignment="1">
      <alignment horizontal="right" vertical="center"/>
    </xf>
    <xf numFmtId="172" fontId="23" fillId="26" borderId="1" xfId="419" applyNumberFormat="1" applyFont="1" applyFill="1" applyBorder="1" applyAlignment="1">
      <alignment horizontal="center" vertical="center" wrapText="1"/>
    </xf>
    <xf numFmtId="49" fontId="4" fillId="0" borderId="1" xfId="417" quotePrefix="1" applyNumberFormat="1" applyFont="1" applyFill="1" applyBorder="1" applyAlignment="1">
      <alignment horizontal="justify" vertical="center" wrapText="1"/>
    </xf>
    <xf numFmtId="49" fontId="13" fillId="0" borderId="1" xfId="403" applyNumberFormat="1" applyFont="1" applyBorder="1" applyAlignment="1">
      <alignment horizontal="justify" vertical="center" wrapText="1"/>
    </xf>
    <xf numFmtId="0" fontId="13" fillId="0" borderId="1" xfId="403" applyFont="1" applyBorder="1" applyAlignment="1">
      <alignment horizontal="center" vertical="center" wrapText="1"/>
    </xf>
    <xf numFmtId="49" fontId="13" fillId="0" borderId="1" xfId="403" quotePrefix="1" applyNumberFormat="1" applyFont="1" applyBorder="1" applyAlignment="1">
      <alignment horizontal="justify" vertical="center" wrapText="1"/>
    </xf>
    <xf numFmtId="3" fontId="23" fillId="26" borderId="1" xfId="294" applyNumberFormat="1" applyFont="1" applyFill="1" applyBorder="1" applyAlignment="1">
      <alignment horizontal="center" vertical="center"/>
    </xf>
    <xf numFmtId="3" fontId="23" fillId="26" borderId="1" xfId="419" quotePrefix="1" applyFont="1" applyFill="1" applyBorder="1" applyAlignment="1">
      <alignment horizontal="center" vertical="center" wrapText="1"/>
    </xf>
    <xf numFmtId="167" fontId="3" fillId="26" borderId="1" xfId="281" applyFont="1" applyFill="1" applyBorder="1" applyAlignment="1">
      <alignment horizontal="center" vertical="center" wrapText="1"/>
    </xf>
    <xf numFmtId="0" fontId="13" fillId="0" borderId="1" xfId="417" quotePrefix="1" applyFont="1" applyBorder="1" applyAlignment="1">
      <alignment horizontal="center" vertical="center"/>
    </xf>
    <xf numFmtId="171" fontId="3" fillId="0" borderId="1" xfId="417" applyNumberFormat="1" applyFont="1" applyBorder="1" applyAlignment="1">
      <alignment horizontal="center" vertical="center"/>
    </xf>
    <xf numFmtId="0" fontId="13" fillId="0" borderId="1" xfId="421" applyFont="1" applyBorder="1" applyAlignment="1">
      <alignment horizontal="center" vertical="center"/>
    </xf>
    <xf numFmtId="0" fontId="13" fillId="0" borderId="1" xfId="421" applyFont="1" applyFill="1" applyBorder="1" applyAlignment="1">
      <alignment horizontal="justify" vertical="center" wrapText="1"/>
    </xf>
    <xf numFmtId="0" fontId="13" fillId="0" borderId="1" xfId="421" applyFont="1" applyFill="1" applyBorder="1" applyAlignment="1">
      <alignment horizontal="center" vertical="center"/>
    </xf>
    <xf numFmtId="3" fontId="23" fillId="26" borderId="1" xfId="419" applyFont="1" applyFill="1" applyBorder="1" applyAlignment="1">
      <alignment horizontal="center" wrapText="1"/>
    </xf>
    <xf numFmtId="0" fontId="3" fillId="0" borderId="1" xfId="403" applyFont="1" applyBorder="1" applyAlignment="1">
      <alignment horizontal="center" vertical="center"/>
    </xf>
    <xf numFmtId="3" fontId="5" fillId="26" borderId="1" xfId="419" applyFont="1" applyFill="1" applyBorder="1" applyAlignment="1">
      <alignment horizontal="center" wrapText="1"/>
    </xf>
    <xf numFmtId="3" fontId="27" fillId="26" borderId="1" xfId="419" applyFont="1" applyFill="1" applyBorder="1" applyAlignment="1">
      <alignment horizontal="center" wrapText="1"/>
    </xf>
    <xf numFmtId="0" fontId="3" fillId="26" borderId="1" xfId="0" applyFont="1" applyFill="1" applyBorder="1" applyAlignment="1">
      <alignment vertical="center" wrapText="1"/>
    </xf>
    <xf numFmtId="174" fontId="3" fillId="0" borderId="1" xfId="281" applyNumberFormat="1" applyFont="1" applyFill="1" applyBorder="1" applyAlignment="1">
      <alignment horizontal="right" vertical="center"/>
    </xf>
    <xf numFmtId="174" fontId="13" fillId="0" borderId="1" xfId="281" applyNumberFormat="1" applyFont="1" applyFill="1" applyBorder="1" applyAlignment="1">
      <alignment horizontal="right" vertical="center"/>
    </xf>
    <xf numFmtId="0" fontId="13" fillId="26" borderId="0" xfId="0" applyFont="1" applyFill="1"/>
    <xf numFmtId="0" fontId="13" fillId="26" borderId="1" xfId="0" applyFont="1" applyFill="1" applyBorder="1" applyAlignment="1">
      <alignment vertical="center" wrapText="1"/>
    </xf>
    <xf numFmtId="178" fontId="4" fillId="26" borderId="1" xfId="0" quotePrefix="1" applyNumberFormat="1" applyFont="1" applyFill="1" applyBorder="1" applyAlignment="1">
      <alignment horizontal="center" vertical="center" wrapText="1"/>
    </xf>
    <xf numFmtId="0" fontId="13" fillId="26" borderId="1" xfId="0" applyNumberFormat="1" applyFont="1" applyFill="1" applyBorder="1" applyAlignment="1">
      <alignment horizontal="center" vertical="center" wrapText="1"/>
    </xf>
    <xf numFmtId="174" fontId="13" fillId="26" borderId="1" xfId="281" applyNumberFormat="1" applyFont="1" applyFill="1" applyBorder="1" applyAlignment="1">
      <alignment horizontal="right" vertical="center" wrapText="1"/>
    </xf>
    <xf numFmtId="174" fontId="4" fillId="26" borderId="1" xfId="281" applyNumberFormat="1" applyFont="1" applyFill="1" applyBorder="1" applyAlignment="1">
      <alignment horizontal="right" vertical="center" wrapText="1"/>
    </xf>
    <xf numFmtId="0" fontId="4" fillId="26" borderId="1" xfId="281" applyNumberFormat="1" applyFont="1" applyFill="1" applyBorder="1" applyAlignment="1">
      <alignment horizontal="center" vertical="center" wrapText="1"/>
    </xf>
    <xf numFmtId="178" fontId="3" fillId="26" borderId="1" xfId="0" applyNumberFormat="1" applyFont="1" applyFill="1" applyBorder="1" applyAlignment="1">
      <alignment horizontal="center" vertical="center" wrapText="1"/>
    </xf>
    <xf numFmtId="174" fontId="3" fillId="26" borderId="1" xfId="281" applyNumberFormat="1" applyFont="1" applyFill="1" applyBorder="1" applyAlignment="1">
      <alignment horizontal="right" vertical="center" wrapText="1"/>
    </xf>
    <xf numFmtId="178" fontId="13" fillId="26" borderId="1" xfId="0" quotePrefix="1" applyNumberFormat="1" applyFont="1" applyFill="1" applyBorder="1" applyAlignment="1">
      <alignment horizontal="center" vertical="center" wrapText="1"/>
    </xf>
    <xf numFmtId="0" fontId="13" fillId="26" borderId="1" xfId="0" applyFont="1" applyFill="1" applyBorder="1" applyAlignment="1">
      <alignment horizontal="left" vertical="center" wrapText="1"/>
    </xf>
    <xf numFmtId="0" fontId="4" fillId="26" borderId="1" xfId="0" applyNumberFormat="1" applyFont="1" applyFill="1" applyBorder="1" applyAlignment="1">
      <alignment horizontal="center" vertical="center" wrapText="1"/>
    </xf>
    <xf numFmtId="178" fontId="13" fillId="26" borderId="1" xfId="415" applyNumberFormat="1" applyFont="1" applyFill="1" applyBorder="1" applyAlignment="1">
      <alignment horizontal="center" vertical="center"/>
    </xf>
    <xf numFmtId="178" fontId="13" fillId="26" borderId="1" xfId="415" applyNumberFormat="1" applyFont="1" applyFill="1" applyBorder="1" applyAlignment="1">
      <alignment vertical="center" wrapText="1"/>
    </xf>
    <xf numFmtId="174" fontId="13" fillId="26" borderId="1" xfId="281" applyNumberFormat="1" applyFont="1" applyFill="1" applyBorder="1" applyAlignment="1">
      <alignment horizontal="right" vertical="center"/>
    </xf>
    <xf numFmtId="174" fontId="13" fillId="26" borderId="1" xfId="281" applyNumberFormat="1" applyFont="1" applyFill="1" applyBorder="1" applyAlignment="1">
      <alignment vertical="center"/>
    </xf>
    <xf numFmtId="178" fontId="13" fillId="26" borderId="1" xfId="415" applyNumberFormat="1" applyFont="1" applyFill="1" applyBorder="1" applyAlignment="1">
      <alignment horizontal="left" vertical="center" wrapText="1"/>
    </xf>
    <xf numFmtId="178" fontId="13" fillId="26" borderId="1" xfId="415" quotePrefix="1" applyNumberFormat="1" applyFont="1" applyFill="1" applyBorder="1" applyAlignment="1">
      <alignment horizontal="center" vertical="center"/>
    </xf>
    <xf numFmtId="170" fontId="13" fillId="26" borderId="1" xfId="281" quotePrefix="1" applyNumberFormat="1" applyFont="1" applyFill="1" applyBorder="1" applyAlignment="1">
      <alignment horizontal="center" vertical="center"/>
    </xf>
    <xf numFmtId="0" fontId="13" fillId="26" borderId="0" xfId="0" applyFont="1" applyFill="1" applyAlignment="1">
      <alignment vertical="center" wrapText="1"/>
    </xf>
    <xf numFmtId="178" fontId="3" fillId="26" borderId="1" xfId="0" quotePrefix="1" applyNumberFormat="1" applyFont="1" applyFill="1" applyBorder="1" applyAlignment="1">
      <alignment horizontal="center" vertical="center" wrapText="1"/>
    </xf>
    <xf numFmtId="0" fontId="3" fillId="26" borderId="1" xfId="0" applyFont="1" applyFill="1" applyBorder="1" applyAlignment="1">
      <alignment horizontal="left" vertical="center" wrapText="1"/>
    </xf>
    <xf numFmtId="3" fontId="3" fillId="26" borderId="1" xfId="263" applyNumberFormat="1" applyFont="1" applyFill="1" applyBorder="1" applyAlignment="1">
      <alignment horizontal="left" vertical="center" wrapText="1"/>
    </xf>
    <xf numFmtId="178" fontId="13" fillId="26" borderId="1" xfId="0" applyNumberFormat="1" applyFont="1" applyFill="1" applyBorder="1" applyAlignment="1">
      <alignment horizontal="center" vertical="center" wrapText="1"/>
    </xf>
    <xf numFmtId="169" fontId="13" fillId="26" borderId="1" xfId="296" applyNumberFormat="1" applyFont="1" applyFill="1" applyBorder="1" applyAlignment="1">
      <alignment horizontal="left" vertical="center" wrapText="1"/>
    </xf>
    <xf numFmtId="177" fontId="13" fillId="26" borderId="0" xfId="0" applyNumberFormat="1" applyFont="1" applyFill="1"/>
    <xf numFmtId="0" fontId="13" fillId="26" borderId="0" xfId="0" applyFont="1" applyFill="1" applyAlignment="1">
      <alignment vertical="center"/>
    </xf>
    <xf numFmtId="178" fontId="3" fillId="26" borderId="1" xfId="415" applyNumberFormat="1" applyFont="1" applyFill="1" applyBorder="1" applyAlignment="1">
      <alignment horizontal="center" vertical="center"/>
    </xf>
    <xf numFmtId="178" fontId="3" fillId="26" borderId="1" xfId="415" applyNumberFormat="1" applyFont="1" applyFill="1" applyBorder="1" applyAlignment="1">
      <alignment vertical="center" wrapText="1"/>
    </xf>
    <xf numFmtId="174" fontId="3" fillId="26" borderId="1" xfId="281" applyNumberFormat="1" applyFont="1" applyFill="1" applyBorder="1" applyAlignment="1">
      <alignment vertical="center"/>
    </xf>
    <xf numFmtId="167" fontId="3" fillId="26" borderId="1" xfId="281" applyFont="1" applyFill="1" applyBorder="1" applyAlignment="1">
      <alignment horizontal="left" vertical="center" wrapText="1"/>
    </xf>
    <xf numFmtId="0" fontId="3" fillId="26" borderId="1" xfId="281" applyNumberFormat="1" applyFont="1" applyFill="1" applyBorder="1" applyAlignment="1">
      <alignment horizontal="center" vertical="center" wrapText="1"/>
    </xf>
    <xf numFmtId="179" fontId="3" fillId="26" borderId="1" xfId="0" applyNumberFormat="1" applyFont="1" applyFill="1" applyBorder="1" applyAlignment="1">
      <alignment vertical="center" wrapText="1"/>
    </xf>
    <xf numFmtId="49" fontId="13" fillId="26" borderId="1" xfId="0" applyNumberFormat="1" applyFont="1" applyFill="1" applyBorder="1" applyAlignment="1">
      <alignment horizontal="left" vertical="center" wrapText="1"/>
    </xf>
    <xf numFmtId="0" fontId="18" fillId="26" borderId="1" xfId="281" applyNumberFormat="1" applyFont="1" applyFill="1" applyBorder="1" applyAlignment="1">
      <alignment horizontal="center" vertical="center" wrapText="1"/>
    </xf>
    <xf numFmtId="178" fontId="4" fillId="26" borderId="1" xfId="0" applyNumberFormat="1" applyFont="1" applyFill="1" applyBorder="1" applyAlignment="1">
      <alignment horizontal="center" vertical="center" wrapText="1"/>
    </xf>
    <xf numFmtId="174" fontId="18" fillId="26" borderId="1" xfId="281" applyNumberFormat="1" applyFont="1" applyFill="1" applyBorder="1" applyAlignment="1">
      <alignment horizontal="right" vertical="center" wrapText="1"/>
    </xf>
    <xf numFmtId="174" fontId="13" fillId="26" borderId="1" xfId="281" applyNumberFormat="1" applyFont="1" applyFill="1" applyBorder="1" applyAlignment="1">
      <alignment horizontal="right" wrapText="1"/>
    </xf>
    <xf numFmtId="174" fontId="3" fillId="0" borderId="1" xfId="281" applyNumberFormat="1" applyFont="1" applyFill="1" applyBorder="1" applyAlignment="1">
      <alignment vertical="center" wrapText="1"/>
    </xf>
    <xf numFmtId="0" fontId="4" fillId="26" borderId="0" xfId="0" applyNumberFormat="1" applyFont="1" applyFill="1" applyAlignment="1">
      <alignment horizontal="center" vertical="center" wrapText="1"/>
    </xf>
    <xf numFmtId="175" fontId="13" fillId="26" borderId="0" xfId="0" applyNumberFormat="1" applyFont="1" applyFill="1" applyAlignment="1">
      <alignment vertical="center" wrapText="1"/>
    </xf>
    <xf numFmtId="0" fontId="13" fillId="26" borderId="0" xfId="0" applyNumberFormat="1" applyFont="1" applyFill="1" applyAlignment="1">
      <alignment horizontal="center" vertical="center" wrapText="1"/>
    </xf>
    <xf numFmtId="167" fontId="13" fillId="26" borderId="0" xfId="281" applyFont="1" applyFill="1" applyAlignment="1">
      <alignment vertical="center" wrapText="1"/>
    </xf>
    <xf numFmtId="0" fontId="18" fillId="26" borderId="1" xfId="0" applyNumberFormat="1" applyFont="1" applyFill="1" applyBorder="1" applyAlignment="1">
      <alignment horizontal="center" vertical="center" wrapText="1"/>
    </xf>
    <xf numFmtId="0" fontId="13" fillId="26" borderId="1" xfId="0" quotePrefix="1" applyFont="1" applyFill="1" applyBorder="1" applyAlignment="1">
      <alignment vertical="center" wrapText="1"/>
    </xf>
    <xf numFmtId="0" fontId="3" fillId="26" borderId="1" xfId="0" quotePrefix="1" applyFont="1" applyFill="1" applyBorder="1" applyAlignment="1">
      <alignment horizontal="center" vertical="center" wrapText="1"/>
    </xf>
    <xf numFmtId="0" fontId="13" fillId="26" borderId="1" xfId="0" quotePrefix="1" applyFont="1" applyFill="1" applyBorder="1" applyAlignment="1">
      <alignment horizontal="center" vertical="center" wrapText="1"/>
    </xf>
    <xf numFmtId="49" fontId="3" fillId="26" borderId="1" xfId="0" applyNumberFormat="1" applyFont="1" applyFill="1" applyBorder="1" applyAlignment="1">
      <alignment vertical="center" wrapText="1"/>
    </xf>
    <xf numFmtId="0" fontId="3" fillId="26" borderId="1" xfId="263" applyNumberFormat="1" applyFont="1" applyFill="1" applyBorder="1" applyAlignment="1">
      <alignment horizontal="center" vertical="center" wrapText="1"/>
    </xf>
    <xf numFmtId="174" fontId="3" fillId="26" borderId="1" xfId="281" applyNumberFormat="1" applyFont="1" applyFill="1" applyBorder="1" applyAlignment="1">
      <alignment horizontal="right" wrapText="1"/>
    </xf>
    <xf numFmtId="0" fontId="13" fillId="26" borderId="1" xfId="263" applyNumberFormat="1" applyFont="1" applyFill="1" applyBorder="1" applyAlignment="1">
      <alignment horizontal="center" vertical="center" wrapText="1"/>
    </xf>
    <xf numFmtId="3" fontId="3" fillId="26" borderId="1" xfId="0" applyNumberFormat="1" applyFont="1" applyFill="1" applyBorder="1" applyAlignment="1">
      <alignment vertical="center" wrapText="1"/>
    </xf>
    <xf numFmtId="3" fontId="13" fillId="26" borderId="1" xfId="0" applyNumberFormat="1" applyFont="1" applyFill="1" applyBorder="1" applyAlignment="1">
      <alignment vertical="center" wrapText="1"/>
    </xf>
    <xf numFmtId="178" fontId="3" fillId="26" borderId="0" xfId="0" applyNumberFormat="1" applyFont="1" applyFill="1" applyBorder="1" applyAlignment="1">
      <alignment horizontal="center" vertical="center" wrapText="1"/>
    </xf>
    <xf numFmtId="0" fontId="3" fillId="26" borderId="0" xfId="0" applyFont="1" applyFill="1" applyBorder="1" applyAlignment="1">
      <alignment horizontal="left" vertical="center" wrapText="1"/>
    </xf>
    <xf numFmtId="0" fontId="3" fillId="26" borderId="0" xfId="0" applyNumberFormat="1" applyFont="1" applyFill="1" applyBorder="1" applyAlignment="1">
      <alignment horizontal="center" vertical="center" wrapText="1"/>
    </xf>
    <xf numFmtId="247" fontId="3" fillId="26" borderId="0" xfId="281" applyNumberFormat="1" applyFont="1" applyFill="1" applyBorder="1" applyAlignment="1">
      <alignment horizontal="right" vertical="center" wrapText="1"/>
    </xf>
    <xf numFmtId="167" fontId="3" fillId="26" borderId="0" xfId="281" applyFont="1" applyFill="1" applyBorder="1" applyAlignment="1">
      <alignment vertical="center" wrapText="1"/>
    </xf>
    <xf numFmtId="174" fontId="3" fillId="26" borderId="0" xfId="281" applyNumberFormat="1" applyFont="1" applyFill="1" applyBorder="1" applyAlignment="1">
      <alignment vertical="center" wrapText="1"/>
    </xf>
    <xf numFmtId="167" fontId="3" fillId="26" borderId="0" xfId="281" applyFont="1" applyFill="1" applyBorder="1" applyAlignment="1">
      <alignment horizontal="right" vertical="center" wrapText="1"/>
    </xf>
    <xf numFmtId="0" fontId="3" fillId="26" borderId="1" xfId="415" applyFont="1" applyFill="1" applyBorder="1" applyAlignment="1">
      <alignment horizontal="center" vertical="center" wrapText="1"/>
    </xf>
    <xf numFmtId="178" fontId="3" fillId="26" borderId="1" xfId="415" applyNumberFormat="1" applyFont="1" applyFill="1" applyBorder="1" applyAlignment="1">
      <alignment horizontal="center" vertical="center" wrapText="1"/>
    </xf>
    <xf numFmtId="0" fontId="3" fillId="26" borderId="1" xfId="415" applyNumberFormat="1" applyFont="1" applyFill="1" applyBorder="1" applyAlignment="1">
      <alignment horizontal="center" vertical="center" wrapText="1"/>
    </xf>
    <xf numFmtId="174" fontId="3" fillId="26" borderId="1" xfId="281" applyNumberFormat="1" applyFont="1" applyFill="1" applyBorder="1" applyAlignment="1">
      <alignment horizontal="right" vertical="center"/>
    </xf>
    <xf numFmtId="0" fontId="3" fillId="26" borderId="0" xfId="0" applyFont="1" applyFill="1"/>
    <xf numFmtId="0" fontId="4" fillId="26" borderId="0" xfId="0" applyFont="1" applyFill="1"/>
    <xf numFmtId="0" fontId="3" fillId="26" borderId="0" xfId="0" applyFont="1" applyFill="1" applyAlignment="1">
      <alignment vertical="center" wrapText="1"/>
    </xf>
    <xf numFmtId="178" fontId="18" fillId="26" borderId="1" xfId="415" applyNumberFormat="1" applyFont="1" applyFill="1" applyBorder="1" applyAlignment="1">
      <alignment horizontal="center" vertical="center"/>
    </xf>
    <xf numFmtId="174" fontId="18" fillId="26" borderId="1" xfId="281" applyNumberFormat="1" applyFont="1" applyFill="1" applyBorder="1" applyAlignment="1">
      <alignment vertical="center"/>
    </xf>
    <xf numFmtId="169" fontId="22" fillId="26" borderId="0" xfId="0" applyNumberFormat="1" applyFont="1" applyFill="1"/>
    <xf numFmtId="167" fontId="22" fillId="26" borderId="0" xfId="0" applyNumberFormat="1" applyFont="1" applyFill="1"/>
    <xf numFmtId="0" fontId="24" fillId="26" borderId="13" xfId="0" applyFont="1" applyFill="1" applyBorder="1" applyAlignment="1">
      <alignment horizontal="center" vertical="center"/>
    </xf>
    <xf numFmtId="0" fontId="24" fillId="26" borderId="13" xfId="0" applyFont="1" applyFill="1" applyBorder="1" applyAlignment="1">
      <alignment horizontal="center" vertical="center" wrapText="1"/>
    </xf>
    <xf numFmtId="174" fontId="24" fillId="26" borderId="13" xfId="281" applyNumberFormat="1" applyFont="1" applyFill="1" applyBorder="1" applyAlignment="1">
      <alignment horizontal="center" vertical="center" wrapText="1"/>
    </xf>
    <xf numFmtId="178" fontId="19" fillId="26" borderId="22" xfId="415" quotePrefix="1" applyNumberFormat="1" applyFont="1" applyFill="1" applyBorder="1" applyAlignment="1">
      <alignment horizontal="center"/>
    </xf>
    <xf numFmtId="178" fontId="19" fillId="26" borderId="22" xfId="415" applyNumberFormat="1" applyFont="1" applyFill="1" applyBorder="1" applyAlignment="1">
      <alignment wrapText="1"/>
    </xf>
    <xf numFmtId="178" fontId="19" fillId="26" borderId="18" xfId="415" applyNumberFormat="1" applyFont="1" applyFill="1" applyBorder="1" applyAlignment="1">
      <alignment horizontal="left" wrapText="1"/>
    </xf>
    <xf numFmtId="178" fontId="22" fillId="26" borderId="22" xfId="415" applyNumberFormat="1" applyFont="1" applyFill="1" applyBorder="1" applyAlignment="1">
      <alignment horizontal="center"/>
    </xf>
    <xf numFmtId="178" fontId="22" fillId="26" borderId="22" xfId="415" applyNumberFormat="1" applyFont="1" applyFill="1" applyBorder="1" applyAlignment="1">
      <alignment wrapText="1"/>
    </xf>
    <xf numFmtId="49" fontId="13" fillId="26" borderId="1" xfId="0" applyNumberFormat="1" applyFont="1" applyFill="1" applyBorder="1" applyAlignment="1">
      <alignment vertical="center" wrapText="1"/>
    </xf>
    <xf numFmtId="174" fontId="13" fillId="0" borderId="1" xfId="281" applyNumberFormat="1" applyFont="1" applyFill="1" applyBorder="1" applyAlignment="1">
      <alignment vertical="center" wrapText="1"/>
    </xf>
    <xf numFmtId="174" fontId="3" fillId="26" borderId="0" xfId="281" applyNumberFormat="1" applyFont="1" applyFill="1" applyAlignment="1"/>
    <xf numFmtId="174" fontId="3" fillId="0" borderId="1" xfId="281" applyNumberFormat="1" applyFont="1" applyFill="1" applyBorder="1" applyAlignment="1">
      <alignment horizontal="left" vertical="center" wrapText="1"/>
    </xf>
    <xf numFmtId="0" fontId="3" fillId="0" borderId="0" xfId="0" applyFont="1" applyFill="1"/>
    <xf numFmtId="0" fontId="13" fillId="26" borderId="1" xfId="281" applyNumberFormat="1" applyFont="1" applyFill="1" applyBorder="1" applyAlignment="1">
      <alignment horizontal="center" vertical="center" wrapText="1"/>
    </xf>
    <xf numFmtId="174" fontId="3" fillId="0" borderId="1" xfId="0" applyNumberFormat="1" applyFont="1" applyFill="1" applyBorder="1" applyAlignment="1">
      <alignment horizontal="right" vertical="center"/>
    </xf>
    <xf numFmtId="174" fontId="13" fillId="0" borderId="1" xfId="0" applyNumberFormat="1" applyFont="1" applyFill="1" applyBorder="1" applyAlignment="1">
      <alignment vertical="center"/>
    </xf>
    <xf numFmtId="178" fontId="18" fillId="26" borderId="1" xfId="415" applyNumberFormat="1" applyFont="1" applyFill="1" applyBorder="1" applyAlignment="1">
      <alignment horizontal="left" vertical="center" wrapText="1"/>
    </xf>
    <xf numFmtId="178" fontId="13" fillId="0" borderId="1" xfId="0" quotePrefix="1" applyNumberFormat="1" applyFont="1" applyFill="1" applyBorder="1" applyAlignment="1">
      <alignment horizontal="center" vertical="center" wrapText="1"/>
    </xf>
    <xf numFmtId="0" fontId="13" fillId="0" borderId="1" xfId="0" quotePrefix="1" applyFont="1" applyFill="1" applyBorder="1" applyAlignment="1">
      <alignment vertical="center" wrapText="1"/>
    </xf>
    <xf numFmtId="0" fontId="13" fillId="0" borderId="1" xfId="0" applyNumberFormat="1" applyFont="1" applyFill="1" applyBorder="1" applyAlignment="1">
      <alignment horizontal="center" vertical="center" wrapText="1"/>
    </xf>
    <xf numFmtId="174" fontId="13" fillId="0" borderId="1" xfId="281" applyNumberFormat="1" applyFont="1" applyFill="1" applyBorder="1" applyAlignment="1">
      <alignment horizontal="right" vertical="center" wrapText="1"/>
    </xf>
    <xf numFmtId="169" fontId="13" fillId="0" borderId="1" xfId="296" applyNumberFormat="1" applyFont="1" applyFill="1" applyBorder="1" applyAlignment="1">
      <alignment horizontal="left" vertical="center" wrapText="1"/>
    </xf>
    <xf numFmtId="169" fontId="3" fillId="0" borderId="1" xfId="281" applyNumberFormat="1" applyFont="1" applyFill="1" applyBorder="1" applyAlignment="1">
      <alignment horizontal="center" vertical="center" wrapText="1"/>
    </xf>
    <xf numFmtId="167" fontId="4" fillId="26" borderId="0" xfId="0" applyNumberFormat="1" applyFont="1" applyFill="1" applyAlignment="1">
      <alignment horizontal="center" vertical="center" wrapText="1"/>
    </xf>
    <xf numFmtId="181" fontId="13" fillId="26" borderId="0" xfId="0" applyNumberFormat="1" applyFont="1" applyFill="1" applyAlignment="1">
      <alignment vertical="center" wrapText="1"/>
    </xf>
    <xf numFmtId="177" fontId="13" fillId="26" borderId="0" xfId="0" applyNumberFormat="1" applyFont="1" applyFill="1" applyAlignment="1">
      <alignment vertical="center" wrapText="1"/>
    </xf>
    <xf numFmtId="0" fontId="13" fillId="0" borderId="0" xfId="0" applyFont="1" applyFill="1" applyAlignment="1">
      <alignment vertical="center" wrapText="1"/>
    </xf>
    <xf numFmtId="0" fontId="4" fillId="26" borderId="0" xfId="0" applyFont="1" applyFill="1" applyAlignment="1">
      <alignment vertical="center" wrapText="1"/>
    </xf>
    <xf numFmtId="0" fontId="13" fillId="26" borderId="0" xfId="0" applyNumberFormat="1" applyFont="1" applyFill="1" applyAlignment="1">
      <alignment vertical="center" wrapText="1"/>
    </xf>
    <xf numFmtId="171" fontId="13" fillId="0" borderId="0" xfId="0" applyNumberFormat="1" applyFont="1" applyFill="1"/>
    <xf numFmtId="172" fontId="13" fillId="0" borderId="0" xfId="0" applyNumberFormat="1" applyFont="1" applyFill="1"/>
    <xf numFmtId="0" fontId="3" fillId="0" borderId="1" xfId="0" applyFont="1" applyFill="1" applyBorder="1" applyAlignment="1">
      <alignment horizontal="center" vertical="center"/>
    </xf>
    <xf numFmtId="0" fontId="3" fillId="0" borderId="1" xfId="0" applyFont="1" applyFill="1" applyBorder="1" applyAlignment="1">
      <alignment vertical="center"/>
    </xf>
    <xf numFmtId="172" fontId="3" fillId="0" borderId="1" xfId="0" applyNumberFormat="1" applyFont="1" applyFill="1" applyBorder="1" applyAlignment="1">
      <alignment vertical="center"/>
    </xf>
    <xf numFmtId="0" fontId="13" fillId="0" borderId="1" xfId="0" applyFont="1" applyFill="1" applyBorder="1" applyAlignment="1">
      <alignment vertical="center"/>
    </xf>
    <xf numFmtId="172" fontId="13" fillId="0" borderId="1" xfId="0" applyNumberFormat="1" applyFont="1" applyFill="1" applyBorder="1" applyAlignment="1">
      <alignment vertical="center"/>
    </xf>
    <xf numFmtId="0" fontId="13" fillId="0" borderId="1" xfId="0" quotePrefix="1" applyFont="1" applyFill="1" applyBorder="1" applyAlignment="1">
      <alignment vertical="center"/>
    </xf>
    <xf numFmtId="0" fontId="4" fillId="0" borderId="0" xfId="0" applyFont="1" applyFill="1"/>
    <xf numFmtId="172" fontId="4" fillId="0" borderId="0" xfId="0" applyNumberFormat="1" applyFont="1" applyFill="1"/>
    <xf numFmtId="0" fontId="4" fillId="0" borderId="1" xfId="0" applyFont="1" applyFill="1" applyBorder="1" applyAlignment="1">
      <alignment vertical="center"/>
    </xf>
    <xf numFmtId="3" fontId="13" fillId="0" borderId="1" xfId="0" applyNumberFormat="1" applyFont="1" applyFill="1" applyBorder="1" applyAlignment="1">
      <alignment vertical="center"/>
    </xf>
    <xf numFmtId="3" fontId="3" fillId="0" borderId="1" xfId="0" applyNumberFormat="1" applyFont="1" applyFill="1" applyBorder="1" applyAlignment="1">
      <alignment vertical="center"/>
    </xf>
    <xf numFmtId="167" fontId="13" fillId="0" borderId="1" xfId="281" applyFont="1" applyFill="1" applyBorder="1" applyAlignment="1">
      <alignment vertical="center"/>
    </xf>
    <xf numFmtId="174" fontId="3" fillId="0" borderId="1" xfId="281" applyNumberFormat="1" applyFont="1" applyFill="1" applyBorder="1" applyAlignment="1">
      <alignment vertical="center"/>
    </xf>
    <xf numFmtId="174" fontId="13" fillId="0" borderId="1" xfId="281" applyNumberFormat="1" applyFont="1" applyFill="1" applyBorder="1" applyAlignment="1">
      <alignment vertical="center"/>
    </xf>
    <xf numFmtId="0" fontId="4" fillId="0" borderId="1" xfId="0" quotePrefix="1" applyFont="1" applyFill="1" applyBorder="1" applyAlignment="1">
      <alignment vertical="center"/>
    </xf>
    <xf numFmtId="174" fontId="4" fillId="0" borderId="1" xfId="281" applyNumberFormat="1" applyFont="1" applyFill="1" applyBorder="1" applyAlignment="1">
      <alignment vertical="center"/>
    </xf>
    <xf numFmtId="174" fontId="4" fillId="0" borderId="1" xfId="0" applyNumberFormat="1" applyFont="1" applyFill="1" applyBorder="1" applyAlignment="1">
      <alignment vertical="center"/>
    </xf>
    <xf numFmtId="172" fontId="4" fillId="0"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167" fontId="3" fillId="0" borderId="1" xfId="281" applyFont="1" applyFill="1" applyBorder="1" applyAlignment="1">
      <alignment horizontal="right" vertical="center"/>
    </xf>
    <xf numFmtId="174" fontId="3" fillId="0" borderId="1" xfId="0" applyNumberFormat="1" applyFont="1" applyFill="1" applyBorder="1" applyAlignment="1">
      <alignment vertical="center"/>
    </xf>
    <xf numFmtId="167" fontId="4" fillId="0" borderId="1" xfId="281" applyFont="1" applyFill="1" applyBorder="1" applyAlignment="1">
      <alignment horizontal="right" vertical="center"/>
    </xf>
    <xf numFmtId="167" fontId="13" fillId="0" borderId="1" xfId="281" applyFont="1" applyFill="1" applyBorder="1" applyAlignment="1">
      <alignment horizontal="right" vertical="center"/>
    </xf>
    <xf numFmtId="172" fontId="3" fillId="0" borderId="1" xfId="0" applyNumberFormat="1" applyFont="1" applyFill="1" applyBorder="1" applyAlignment="1">
      <alignment horizontal="right" vertical="center"/>
    </xf>
    <xf numFmtId="3" fontId="13" fillId="0" borderId="0" xfId="0" applyNumberFormat="1" applyFont="1" applyFill="1"/>
    <xf numFmtId="167" fontId="13" fillId="26" borderId="0" xfId="0" applyNumberFormat="1" applyFont="1" applyFill="1"/>
    <xf numFmtId="0" fontId="4" fillId="26" borderId="21" xfId="415" applyFont="1" applyFill="1" applyBorder="1" applyAlignment="1">
      <alignment horizontal="center" vertical="center"/>
    </xf>
    <xf numFmtId="0" fontId="4" fillId="26" borderId="21" xfId="415" applyFont="1" applyFill="1" applyBorder="1" applyAlignment="1">
      <alignment horizontal="center"/>
    </xf>
    <xf numFmtId="167" fontId="4" fillId="26" borderId="21" xfId="415" applyNumberFormat="1" applyFont="1" applyFill="1" applyBorder="1" applyAlignment="1">
      <alignment horizontal="center"/>
    </xf>
    <xf numFmtId="0" fontId="128" fillId="0" borderId="0" xfId="0" applyFont="1" applyFill="1"/>
    <xf numFmtId="0" fontId="127" fillId="0" borderId="0" xfId="0" applyFont="1" applyFill="1" applyAlignment="1">
      <alignment horizontal="center" vertical="center"/>
    </xf>
    <xf numFmtId="0" fontId="127" fillId="0" borderId="0" xfId="0" applyFont="1" applyFill="1" applyAlignment="1">
      <alignment horizontal="left"/>
    </xf>
    <xf numFmtId="167" fontId="127" fillId="0" borderId="0" xfId="0" applyNumberFormat="1" applyFont="1" applyFill="1" applyAlignment="1">
      <alignment horizontal="center"/>
    </xf>
    <xf numFmtId="3" fontId="129" fillId="0" borderId="0" xfId="0" applyNumberFormat="1" applyFont="1" applyFill="1" applyAlignment="1">
      <alignment horizontal="center" vertical="center"/>
    </xf>
    <xf numFmtId="0" fontId="129" fillId="0" borderId="0" xfId="0" applyFont="1" applyFill="1" applyAlignment="1">
      <alignment horizontal="center" vertical="center"/>
    </xf>
    <xf numFmtId="0" fontId="129" fillId="0" borderId="0" xfId="0" applyFont="1" applyFill="1" applyAlignment="1">
      <alignment horizontal="center"/>
    </xf>
    <xf numFmtId="0" fontId="127" fillId="0" borderId="13" xfId="0" applyFont="1" applyFill="1" applyBorder="1" applyAlignment="1">
      <alignment horizontal="center" vertical="center" wrapText="1"/>
    </xf>
    <xf numFmtId="0" fontId="127" fillId="0" borderId="1" xfId="0"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0" xfId="0" applyFont="1" applyFill="1"/>
    <xf numFmtId="0" fontId="127" fillId="0" borderId="1" xfId="0" applyFont="1" applyFill="1" applyBorder="1" applyAlignment="1">
      <alignment horizontal="left" vertical="center" wrapText="1"/>
    </xf>
    <xf numFmtId="171" fontId="127" fillId="0" borderId="1" xfId="0" applyNumberFormat="1" applyFont="1" applyFill="1" applyBorder="1" applyAlignment="1">
      <alignment horizontal="right" vertical="center" wrapText="1"/>
    </xf>
    <xf numFmtId="0" fontId="127" fillId="0" borderId="1" xfId="0" quotePrefix="1" applyFont="1" applyFill="1" applyBorder="1" applyAlignment="1">
      <alignment horizontal="center" vertical="center" wrapText="1"/>
    </xf>
    <xf numFmtId="0" fontId="132" fillId="0" borderId="1" xfId="0" applyFont="1" applyFill="1" applyBorder="1" applyAlignment="1">
      <alignment horizontal="left" vertical="center" wrapText="1"/>
    </xf>
    <xf numFmtId="0" fontId="133" fillId="0" borderId="0" xfId="0" applyFont="1" applyFill="1"/>
    <xf numFmtId="3" fontId="132" fillId="0" borderId="1" xfId="415" quotePrefix="1" applyNumberFormat="1" applyFont="1" applyFill="1" applyBorder="1" applyAlignment="1">
      <alignment horizontal="center" vertical="center" wrapText="1"/>
    </xf>
    <xf numFmtId="3" fontId="132" fillId="0" borderId="1" xfId="415" applyNumberFormat="1" applyFont="1" applyFill="1" applyBorder="1" applyAlignment="1">
      <alignment vertical="center" wrapText="1"/>
    </xf>
    <xf numFmtId="171" fontId="132" fillId="0" borderId="1" xfId="415" applyNumberFormat="1" applyFont="1" applyFill="1" applyBorder="1" applyAlignment="1">
      <alignment vertical="center" wrapText="1"/>
    </xf>
    <xf numFmtId="0" fontId="127" fillId="0" borderId="1" xfId="0" applyFont="1" applyFill="1" applyBorder="1" applyAlignment="1">
      <alignment horizontal="center" vertical="center"/>
    </xf>
    <xf numFmtId="0" fontId="127" fillId="0" borderId="1" xfId="0" applyFont="1" applyFill="1" applyBorder="1" applyAlignment="1">
      <alignment vertical="center"/>
    </xf>
    <xf numFmtId="0" fontId="127" fillId="0" borderId="0" xfId="0" applyFont="1" applyFill="1"/>
    <xf numFmtId="0" fontId="128" fillId="0" borderId="0" xfId="0" applyFont="1" applyFill="1" applyAlignment="1">
      <alignment horizontal="center" vertical="center"/>
    </xf>
    <xf numFmtId="174" fontId="3" fillId="0" borderId="1" xfId="281" applyNumberFormat="1" applyFont="1" applyFill="1" applyBorder="1" applyAlignment="1">
      <alignment horizontal="right" vertical="center" wrapText="1"/>
    </xf>
    <xf numFmtId="170" fontId="132" fillId="0" borderId="1" xfId="281" applyNumberFormat="1" applyFont="1" applyFill="1" applyBorder="1" applyAlignment="1">
      <alignment vertical="center" wrapText="1"/>
    </xf>
    <xf numFmtId="170" fontId="127" fillId="0" borderId="1" xfId="281" applyNumberFormat="1" applyFont="1" applyFill="1" applyBorder="1" applyAlignment="1">
      <alignment vertical="center"/>
    </xf>
    <xf numFmtId="0" fontId="22" fillId="26" borderId="0" xfId="0" applyFont="1" applyFill="1"/>
    <xf numFmtId="0" fontId="22" fillId="26" borderId="0" xfId="0" applyFont="1" applyFill="1" applyAlignment="1">
      <alignment wrapText="1"/>
    </xf>
    <xf numFmtId="0" fontId="19" fillId="26" borderId="0" xfId="0" applyFont="1" applyFill="1" applyAlignment="1">
      <alignment vertical="center" wrapText="1"/>
    </xf>
    <xf numFmtId="3" fontId="19" fillId="26" borderId="0" xfId="0" applyNumberFormat="1" applyFont="1" applyFill="1" applyAlignment="1">
      <alignment vertical="center" wrapText="1"/>
    </xf>
    <xf numFmtId="248" fontId="22" fillId="26" borderId="0" xfId="0" applyNumberFormat="1" applyFont="1" applyFill="1"/>
    <xf numFmtId="0" fontId="24" fillId="26" borderId="0" xfId="0" applyFont="1" applyFill="1"/>
    <xf numFmtId="0" fontId="24" fillId="26" borderId="6" xfId="0" applyFont="1" applyFill="1" applyBorder="1" applyAlignment="1">
      <alignment horizontal="center"/>
    </xf>
    <xf numFmtId="178" fontId="24" fillId="26" borderId="6" xfId="415" applyNumberFormat="1" applyFont="1" applyFill="1" applyBorder="1" applyAlignment="1">
      <alignment horizontal="left" wrapText="1"/>
    </xf>
    <xf numFmtId="170" fontId="24" fillId="26" borderId="6" xfId="281" applyNumberFormat="1" applyFont="1" applyFill="1" applyBorder="1"/>
    <xf numFmtId="0" fontId="134" fillId="26" borderId="0" xfId="0" applyFont="1" applyFill="1"/>
    <xf numFmtId="0" fontId="24" fillId="26" borderId="18" xfId="0" applyFont="1" applyFill="1" applyBorder="1" applyAlignment="1">
      <alignment horizontal="center"/>
    </xf>
    <xf numFmtId="178" fontId="24" fillId="26" borderId="18" xfId="415" applyNumberFormat="1" applyFont="1" applyFill="1" applyBorder="1" applyAlignment="1">
      <alignment horizontal="left" wrapText="1"/>
    </xf>
    <xf numFmtId="170" fontId="24" fillId="26" borderId="18" xfId="281" applyNumberFormat="1" applyFont="1" applyFill="1" applyBorder="1"/>
    <xf numFmtId="178" fontId="24" fillId="26" borderId="18" xfId="415" applyNumberFormat="1" applyFont="1" applyFill="1" applyBorder="1" applyAlignment="1">
      <alignment horizontal="center"/>
    </xf>
    <xf numFmtId="178" fontId="24" fillId="26" borderId="18" xfId="415" applyNumberFormat="1" applyFont="1" applyFill="1" applyBorder="1" applyAlignment="1">
      <alignment wrapText="1"/>
    </xf>
    <xf numFmtId="178" fontId="22" fillId="26" borderId="18" xfId="415" applyNumberFormat="1" applyFont="1" applyFill="1" applyBorder="1" applyAlignment="1">
      <alignment horizontal="center"/>
    </xf>
    <xf numFmtId="178" fontId="22" fillId="26" borderId="18" xfId="415" applyNumberFormat="1" applyFont="1" applyFill="1" applyBorder="1" applyAlignment="1">
      <alignment wrapText="1"/>
    </xf>
    <xf numFmtId="170" fontId="22" fillId="26" borderId="18" xfId="281" applyNumberFormat="1" applyFont="1" applyFill="1" applyBorder="1"/>
    <xf numFmtId="169" fontId="22" fillId="26" borderId="18" xfId="281" applyNumberFormat="1" applyFont="1" applyFill="1" applyBorder="1"/>
    <xf numFmtId="0" fontId="22" fillId="26" borderId="18" xfId="0" applyFont="1" applyFill="1" applyBorder="1" applyAlignment="1">
      <alignment horizontal="center"/>
    </xf>
    <xf numFmtId="0" fontId="22" fillId="26" borderId="18" xfId="0" applyFont="1" applyFill="1" applyBorder="1" applyAlignment="1">
      <alignment wrapText="1"/>
    </xf>
    <xf numFmtId="170" fontId="19" fillId="26" borderId="18" xfId="281" applyNumberFormat="1" applyFont="1" applyFill="1" applyBorder="1"/>
    <xf numFmtId="0" fontId="19" fillId="26" borderId="22" xfId="0" quotePrefix="1" applyFont="1" applyFill="1" applyBorder="1" applyAlignment="1">
      <alignment horizontal="center"/>
    </xf>
    <xf numFmtId="0" fontId="19" fillId="26" borderId="22" xfId="0" applyFont="1" applyFill="1" applyBorder="1" applyAlignment="1">
      <alignment wrapText="1"/>
    </xf>
    <xf numFmtId="0" fontId="19" fillId="26" borderId="0" xfId="0" applyFont="1" applyFill="1"/>
    <xf numFmtId="0" fontId="19" fillId="26" borderId="18" xfId="0" quotePrefix="1" applyFont="1" applyFill="1" applyBorder="1" applyAlignment="1">
      <alignment horizontal="center"/>
    </xf>
    <xf numFmtId="0" fontId="19" fillId="26" borderId="18" xfId="0" applyFont="1" applyFill="1" applyBorder="1" applyAlignment="1">
      <alignment wrapText="1"/>
    </xf>
    <xf numFmtId="0" fontId="24" fillId="26" borderId="18" xfId="0" applyFont="1" applyFill="1" applyBorder="1" applyAlignment="1">
      <alignment wrapText="1"/>
    </xf>
    <xf numFmtId="0" fontId="22" fillId="26" borderId="22" xfId="0" quotePrefix="1" applyFont="1" applyFill="1" applyBorder="1" applyAlignment="1">
      <alignment horizontal="center"/>
    </xf>
    <xf numFmtId="0" fontId="22" fillId="26" borderId="22" xfId="0" applyFont="1" applyFill="1" applyBorder="1" applyAlignment="1">
      <alignment wrapText="1"/>
    </xf>
    <xf numFmtId="0" fontId="22" fillId="26" borderId="22" xfId="0" applyFont="1" applyFill="1" applyBorder="1" applyAlignment="1">
      <alignment horizontal="center"/>
    </xf>
    <xf numFmtId="49" fontId="24" fillId="26" borderId="18" xfId="0" applyNumberFormat="1" applyFont="1" applyFill="1" applyBorder="1" applyAlignment="1">
      <alignment wrapText="1"/>
    </xf>
    <xf numFmtId="174" fontId="24" fillId="26" borderId="18" xfId="281" applyNumberFormat="1" applyFont="1" applyFill="1" applyBorder="1"/>
    <xf numFmtId="169" fontId="22" fillId="26" borderId="21" xfId="0" applyNumberFormat="1" applyFont="1" applyFill="1" applyBorder="1" applyAlignment="1"/>
    <xf numFmtId="181" fontId="4" fillId="26" borderId="21" xfId="415" applyNumberFormat="1" applyFont="1" applyFill="1" applyBorder="1" applyAlignment="1">
      <alignment horizontal="center"/>
    </xf>
    <xf numFmtId="174" fontId="127" fillId="0" borderId="1" xfId="281" applyNumberFormat="1" applyFont="1" applyFill="1" applyBorder="1" applyAlignment="1">
      <alignment horizontal="right" vertical="center" wrapText="1"/>
    </xf>
    <xf numFmtId="174" fontId="132" fillId="0" borderId="1" xfId="281" applyNumberFormat="1" applyFont="1" applyFill="1" applyBorder="1" applyAlignment="1">
      <alignment vertical="center" wrapText="1"/>
    </xf>
    <xf numFmtId="172" fontId="127" fillId="0" borderId="1" xfId="0" applyNumberFormat="1" applyFont="1" applyFill="1" applyBorder="1" applyAlignment="1">
      <alignment horizontal="right" vertical="center" wrapText="1"/>
    </xf>
    <xf numFmtId="172" fontId="127" fillId="0" borderId="1" xfId="281" applyNumberFormat="1" applyFont="1" applyFill="1" applyBorder="1" applyAlignment="1">
      <alignment horizontal="right" vertical="center" wrapText="1"/>
    </xf>
    <xf numFmtId="248" fontId="128" fillId="0" borderId="0" xfId="0" applyNumberFormat="1" applyFont="1" applyFill="1"/>
    <xf numFmtId="174" fontId="3" fillId="26" borderId="1" xfId="281" applyNumberFormat="1" applyFont="1" applyFill="1" applyBorder="1" applyAlignment="1">
      <alignment horizontal="center" vertical="center"/>
    </xf>
    <xf numFmtId="0" fontId="13" fillId="0" borderId="1" xfId="0" applyFont="1" applyBorder="1" applyAlignment="1">
      <alignment vertical="center" wrapText="1"/>
    </xf>
    <xf numFmtId="0" fontId="13" fillId="26" borderId="1" xfId="554" applyFont="1" applyFill="1" applyBorder="1" applyAlignment="1">
      <alignment vertical="center" wrapText="1"/>
    </xf>
    <xf numFmtId="248" fontId="13" fillId="0" borderId="0" xfId="0" applyNumberFormat="1" applyFont="1" applyFill="1"/>
    <xf numFmtId="170" fontId="13" fillId="0" borderId="0" xfId="0" applyNumberFormat="1" applyFont="1" applyFill="1"/>
    <xf numFmtId="0" fontId="3" fillId="0" borderId="1" xfId="0" quotePrefix="1" applyFont="1" applyFill="1" applyBorder="1" applyAlignment="1">
      <alignment horizontal="center" vertical="center"/>
    </xf>
    <xf numFmtId="170" fontId="3" fillId="0" borderId="1" xfId="281" applyNumberFormat="1" applyFont="1" applyFill="1" applyBorder="1" applyAlignment="1">
      <alignment vertical="center"/>
    </xf>
    <xf numFmtId="170" fontId="3" fillId="0" borderId="1" xfId="281" applyNumberFormat="1" applyFont="1" applyFill="1" applyBorder="1" applyAlignment="1">
      <alignment vertical="center" wrapText="1"/>
    </xf>
    <xf numFmtId="3" fontId="3" fillId="0" borderId="1" xfId="415" applyNumberFormat="1" applyFont="1" applyFill="1" applyBorder="1" applyAlignment="1">
      <alignment horizontal="left" vertical="center" wrapText="1"/>
    </xf>
    <xf numFmtId="0" fontId="24" fillId="26" borderId="0" xfId="0" applyFont="1" applyFill="1" applyAlignment="1">
      <alignment horizontal="center"/>
    </xf>
    <xf numFmtId="0" fontId="24" fillId="26" borderId="1" xfId="0" applyFont="1" applyFill="1" applyBorder="1" applyAlignment="1">
      <alignment horizontal="center" vertical="center"/>
    </xf>
    <xf numFmtId="0" fontId="24" fillId="26" borderId="1" xfId="0" applyFont="1" applyFill="1" applyBorder="1" applyAlignment="1">
      <alignment horizontal="center" vertical="center" wrapText="1"/>
    </xf>
    <xf numFmtId="49" fontId="22" fillId="26" borderId="18" xfId="0" quotePrefix="1" applyNumberFormat="1" applyFont="1" applyFill="1" applyBorder="1" applyAlignment="1">
      <alignment wrapText="1"/>
    </xf>
    <xf numFmtId="0" fontId="22" fillId="26" borderId="18" xfId="0" quotePrefix="1" applyFont="1" applyFill="1" applyBorder="1" applyAlignment="1">
      <alignment horizontal="center"/>
    </xf>
    <xf numFmtId="169" fontId="22" fillId="26" borderId="18" xfId="281" applyNumberFormat="1" applyFont="1" applyFill="1" applyBorder="1" applyAlignment="1">
      <alignment horizontal="center"/>
    </xf>
    <xf numFmtId="169" fontId="22" fillId="26" borderId="18" xfId="281" applyNumberFormat="1" applyFont="1" applyFill="1" applyBorder="1" applyAlignment="1">
      <alignment wrapText="1"/>
    </xf>
    <xf numFmtId="174" fontId="22" fillId="26" borderId="18" xfId="281" applyNumberFormat="1" applyFont="1" applyFill="1" applyBorder="1"/>
    <xf numFmtId="174" fontId="22" fillId="26" borderId="19" xfId="281" applyNumberFormat="1" applyFont="1" applyFill="1" applyBorder="1"/>
    <xf numFmtId="169" fontId="22" fillId="26" borderId="0" xfId="281" applyNumberFormat="1" applyFont="1" applyFill="1"/>
    <xf numFmtId="169" fontId="22" fillId="26" borderId="19" xfId="281" applyNumberFormat="1" applyFont="1" applyFill="1" applyBorder="1" applyAlignment="1">
      <alignment horizontal="center"/>
    </xf>
    <xf numFmtId="169" fontId="22" fillId="26" borderId="19" xfId="281" applyNumberFormat="1" applyFont="1" applyFill="1" applyBorder="1" applyAlignment="1">
      <alignment wrapText="1"/>
    </xf>
    <xf numFmtId="170" fontId="22" fillId="26" borderId="19" xfId="281" applyNumberFormat="1" applyFont="1" applyFill="1" applyBorder="1"/>
    <xf numFmtId="181" fontId="13" fillId="26" borderId="0" xfId="0" applyNumberFormat="1" applyFont="1" applyFill="1"/>
    <xf numFmtId="174" fontId="13" fillId="26" borderId="0" xfId="0" applyNumberFormat="1" applyFont="1" applyFill="1"/>
    <xf numFmtId="3" fontId="127" fillId="0" borderId="1" xfId="415" quotePrefix="1" applyNumberFormat="1" applyFont="1" applyFill="1" applyBorder="1" applyAlignment="1">
      <alignment horizontal="center" vertical="center" wrapText="1"/>
    </xf>
    <xf numFmtId="174" fontId="127" fillId="0" borderId="1" xfId="281" applyNumberFormat="1" applyFont="1" applyFill="1" applyBorder="1" applyAlignment="1">
      <alignment vertical="center" wrapText="1"/>
    </xf>
    <xf numFmtId="171" fontId="127" fillId="0" borderId="1" xfId="415" applyNumberFormat="1" applyFont="1" applyFill="1" applyBorder="1" applyAlignment="1">
      <alignment vertical="center" wrapText="1"/>
    </xf>
    <xf numFmtId="0" fontId="3" fillId="26" borderId="1" xfId="0" applyFont="1" applyFill="1" applyBorder="1" applyAlignment="1">
      <alignment horizontal="center" vertical="center"/>
    </xf>
    <xf numFmtId="177" fontId="4" fillId="26" borderId="0" xfId="0" applyNumberFormat="1" applyFont="1" applyFill="1"/>
    <xf numFmtId="174" fontId="13" fillId="0" borderId="1" xfId="0" applyNumberFormat="1" applyFont="1" applyFill="1" applyBorder="1" applyAlignment="1">
      <alignment horizontal="right" vertical="center"/>
    </xf>
    <xf numFmtId="0" fontId="135" fillId="0" borderId="1" xfId="0" applyFont="1" applyBorder="1" applyAlignment="1">
      <alignment horizontal="left" vertical="center" wrapText="1"/>
    </xf>
    <xf numFmtId="174" fontId="3" fillId="26" borderId="1" xfId="281" applyNumberFormat="1" applyFont="1" applyFill="1" applyBorder="1" applyAlignment="1">
      <alignment horizontal="center" vertical="center" wrapText="1"/>
    </xf>
    <xf numFmtId="170" fontId="4" fillId="26" borderId="1" xfId="281" quotePrefix="1" applyNumberFormat="1" applyFont="1" applyFill="1" applyBorder="1" applyAlignment="1">
      <alignment horizontal="center" vertical="center"/>
    </xf>
    <xf numFmtId="178" fontId="4" fillId="26" borderId="1" xfId="415" applyNumberFormat="1" applyFont="1" applyFill="1" applyBorder="1" applyAlignment="1">
      <alignment vertical="center" wrapText="1"/>
    </xf>
    <xf numFmtId="174" fontId="4" fillId="26" borderId="1" xfId="281" applyNumberFormat="1" applyFont="1" applyFill="1" applyBorder="1" applyAlignment="1">
      <alignment vertical="center"/>
    </xf>
    <xf numFmtId="167" fontId="3" fillId="27" borderId="0" xfId="281" applyNumberFormat="1" applyFont="1" applyFill="1" applyAlignment="1">
      <alignment vertical="center"/>
    </xf>
    <xf numFmtId="0" fontId="13" fillId="26" borderId="1" xfId="0" applyFont="1" applyFill="1" applyBorder="1" applyAlignment="1">
      <alignment horizontal="center" vertical="center"/>
    </xf>
    <xf numFmtId="167" fontId="13" fillId="26" borderId="1" xfId="281" applyNumberFormat="1" applyFont="1" applyFill="1" applyBorder="1" applyAlignment="1">
      <alignment vertical="center"/>
    </xf>
    <xf numFmtId="169" fontId="13" fillId="26" borderId="0" xfId="281" applyNumberFormat="1" applyFont="1" applyFill="1" applyAlignment="1">
      <alignment vertical="center" wrapText="1"/>
    </xf>
    <xf numFmtId="174" fontId="13" fillId="26" borderId="0" xfId="281" applyNumberFormat="1" applyFont="1" applyFill="1" applyAlignment="1">
      <alignment vertical="center" wrapText="1"/>
    </xf>
    <xf numFmtId="173" fontId="13" fillId="26" borderId="0" xfId="281" applyNumberFormat="1" applyFont="1" applyFill="1" applyAlignment="1">
      <alignment vertical="center" wrapText="1"/>
    </xf>
    <xf numFmtId="0" fontId="135" fillId="0" borderId="0" xfId="0" applyFont="1"/>
    <xf numFmtId="174" fontId="135" fillId="0" borderId="0" xfId="281" applyNumberFormat="1" applyFont="1"/>
    <xf numFmtId="0" fontId="136" fillId="0" borderId="0" xfId="0" applyFont="1"/>
    <xf numFmtId="174" fontId="136" fillId="0" borderId="0" xfId="281" applyNumberFormat="1" applyFont="1"/>
    <xf numFmtId="174" fontId="135" fillId="0" borderId="0" xfId="0" applyNumberFormat="1" applyFont="1"/>
    <xf numFmtId="181" fontId="135" fillId="0" borderId="0" xfId="0" applyNumberFormat="1" applyFont="1"/>
    <xf numFmtId="249" fontId="135" fillId="0" borderId="0" xfId="0" applyNumberFormat="1" applyFont="1"/>
    <xf numFmtId="250" fontId="135" fillId="0" borderId="0" xfId="0" applyNumberFormat="1" applyFont="1"/>
    <xf numFmtId="0" fontId="136" fillId="0" borderId="0" xfId="0" applyFont="1" applyAlignment="1">
      <alignment horizontal="center" vertical="center" wrapText="1"/>
    </xf>
    <xf numFmtId="178" fontId="4" fillId="26" borderId="1" xfId="415" applyNumberFormat="1" applyFont="1" applyFill="1" applyBorder="1" applyAlignment="1">
      <alignment horizontal="center" vertical="center"/>
    </xf>
    <xf numFmtId="174" fontId="4" fillId="0" borderId="1" xfId="281" applyNumberFormat="1" applyFont="1" applyFill="1" applyBorder="1" applyAlignment="1">
      <alignment horizontal="right" vertical="center" wrapText="1"/>
    </xf>
    <xf numFmtId="0" fontId="4" fillId="26" borderId="1" xfId="0" applyFont="1" applyFill="1" applyBorder="1" applyAlignment="1">
      <alignment horizontal="left" vertical="center" wrapText="1"/>
    </xf>
    <xf numFmtId="2" fontId="13" fillId="26" borderId="0" xfId="0" applyNumberFormat="1" applyFont="1" applyFill="1"/>
    <xf numFmtId="174" fontId="132" fillId="0" borderId="1" xfId="281" applyNumberFormat="1" applyFont="1" applyFill="1" applyBorder="1" applyAlignment="1">
      <alignment horizontal="right" vertical="center" wrapText="1"/>
    </xf>
    <xf numFmtId="251" fontId="13" fillId="26" borderId="0" xfId="0" applyNumberFormat="1" applyFont="1" applyFill="1" applyAlignment="1">
      <alignment vertical="center" wrapText="1"/>
    </xf>
    <xf numFmtId="0" fontId="13" fillId="26" borderId="0" xfId="0" applyFont="1" applyFill="1" applyAlignment="1">
      <alignment horizontal="center" vertical="center" wrapText="1"/>
    </xf>
    <xf numFmtId="167" fontId="3" fillId="26" borderId="1" xfId="281"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1" xfId="0" applyNumberFormat="1" applyFont="1" applyFill="1" applyBorder="1" applyAlignment="1">
      <alignment horizontal="center" vertical="center" wrapText="1"/>
    </xf>
    <xf numFmtId="0" fontId="13" fillId="26" borderId="1" xfId="0" quotePrefix="1" applyFont="1" applyFill="1" applyBorder="1" applyAlignment="1">
      <alignment horizontal="left" vertical="center" wrapText="1"/>
    </xf>
    <xf numFmtId="0" fontId="13" fillId="26" borderId="1" xfId="537" applyFont="1" applyFill="1" applyBorder="1" applyAlignment="1">
      <alignment vertical="center" wrapText="1"/>
    </xf>
    <xf numFmtId="0" fontId="4" fillId="26" borderId="0" xfId="0" applyFont="1" applyFill="1" applyAlignment="1">
      <alignment vertical="center"/>
    </xf>
    <xf numFmtId="167" fontId="18" fillId="27" borderId="0" xfId="281" applyNumberFormat="1" applyFont="1" applyFill="1" applyAlignment="1">
      <alignment vertical="center"/>
    </xf>
    <xf numFmtId="0" fontId="13" fillId="0" borderId="13" xfId="0" applyFont="1" applyFill="1" applyBorder="1" applyAlignment="1">
      <alignment horizontal="left" vertical="center"/>
    </xf>
    <xf numFmtId="0" fontId="13" fillId="0" borderId="16" xfId="0" applyFont="1" applyFill="1" applyBorder="1" applyAlignment="1">
      <alignment horizontal="left" vertical="center"/>
    </xf>
    <xf numFmtId="172" fontId="13" fillId="0" borderId="13" xfId="0" applyNumberFormat="1" applyFont="1" applyFill="1" applyBorder="1" applyAlignment="1">
      <alignment horizontal="right" vertical="center" wrapText="1"/>
    </xf>
    <xf numFmtId="172" fontId="13" fillId="0" borderId="16" xfId="0" applyNumberFormat="1" applyFont="1" applyFill="1" applyBorder="1" applyAlignment="1">
      <alignment horizontal="right" vertical="center" wrapText="1"/>
    </xf>
    <xf numFmtId="172" fontId="13" fillId="0" borderId="13" xfId="0" applyNumberFormat="1" applyFont="1" applyFill="1" applyBorder="1" applyAlignment="1">
      <alignment horizontal="right" vertical="center"/>
    </xf>
    <xf numFmtId="172" fontId="13" fillId="0" borderId="16" xfId="0"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left" vertical="center"/>
    </xf>
    <xf numFmtId="167" fontId="3" fillId="0" borderId="0" xfId="0" applyNumberFormat="1" applyFont="1" applyFill="1" applyAlignment="1">
      <alignment horizontal="right"/>
    </xf>
    <xf numFmtId="0" fontId="3" fillId="0" borderId="0" xfId="0" applyFont="1" applyFill="1" applyAlignment="1">
      <alignment horizontal="center"/>
    </xf>
    <xf numFmtId="0" fontId="4" fillId="0" borderId="0" xfId="0" applyFont="1" applyFill="1" applyAlignment="1">
      <alignment horizontal="center" vertical="center"/>
    </xf>
    <xf numFmtId="0" fontId="4" fillId="0" borderId="21" xfId="0" applyFont="1" applyFill="1" applyBorder="1" applyAlignment="1">
      <alignment horizontal="right"/>
    </xf>
    <xf numFmtId="0" fontId="3" fillId="0" borderId="1" xfId="415" applyNumberFormat="1" applyFont="1" applyFill="1" applyBorder="1" applyAlignment="1">
      <alignment horizontal="center" vertical="center" wrapText="1"/>
    </xf>
    <xf numFmtId="3" fontId="3" fillId="0" borderId="1" xfId="415" applyNumberFormat="1" applyFont="1" applyFill="1" applyBorder="1" applyAlignment="1">
      <alignment horizontal="center" vertical="center" wrapText="1"/>
    </xf>
    <xf numFmtId="169" fontId="3" fillId="0" borderId="1" xfId="281" applyNumberFormat="1" applyFont="1" applyFill="1" applyBorder="1" applyAlignment="1">
      <alignment horizontal="center" vertical="center" wrapText="1"/>
    </xf>
    <xf numFmtId="3" fontId="3" fillId="0" borderId="0" xfId="415" applyNumberFormat="1" applyFont="1" applyFill="1" applyAlignment="1">
      <alignment horizontal="left"/>
    </xf>
    <xf numFmtId="3" fontId="3" fillId="0" borderId="0" xfId="415" applyNumberFormat="1" applyFont="1" applyFill="1" applyAlignment="1">
      <alignment horizontal="center" vertical="center"/>
    </xf>
    <xf numFmtId="169" fontId="4" fillId="0" borderId="21" xfId="281" applyNumberFormat="1" applyFont="1" applyFill="1" applyBorder="1" applyAlignment="1">
      <alignment horizontal="right"/>
    </xf>
    <xf numFmtId="169" fontId="3" fillId="0" borderId="0" xfId="281" applyNumberFormat="1" applyFont="1" applyFill="1" applyAlignment="1">
      <alignment horizontal="right"/>
    </xf>
    <xf numFmtId="3" fontId="4" fillId="0" borderId="0" xfId="415" applyNumberFormat="1" applyFont="1" applyFill="1" applyAlignment="1">
      <alignment horizontal="center" vertical="center"/>
    </xf>
    <xf numFmtId="167" fontId="4" fillId="26" borderId="21" xfId="281" applyFont="1" applyFill="1" applyBorder="1" applyAlignment="1">
      <alignment horizontal="right" vertical="center" wrapText="1"/>
    </xf>
    <xf numFmtId="0" fontId="3" fillId="26" borderId="1" xfId="0" applyFont="1" applyFill="1" applyBorder="1" applyAlignment="1">
      <alignment horizontal="center" vertical="center" wrapText="1"/>
    </xf>
    <xf numFmtId="0" fontId="3" fillId="26" borderId="13" xfId="0" applyFont="1" applyFill="1" applyBorder="1" applyAlignment="1">
      <alignment horizontal="center" vertical="center" wrapText="1"/>
    </xf>
    <xf numFmtId="0" fontId="3" fillId="26" borderId="16" xfId="0" applyFont="1" applyFill="1" applyBorder="1" applyAlignment="1">
      <alignment horizontal="center" vertical="center" wrapText="1"/>
    </xf>
    <xf numFmtId="167" fontId="3" fillId="26" borderId="1" xfId="281" applyFont="1" applyFill="1" applyBorder="1" applyAlignment="1">
      <alignment horizontal="center" vertical="center" wrapText="1"/>
    </xf>
    <xf numFmtId="0" fontId="3" fillId="26" borderId="0" xfId="0" applyFont="1" applyFill="1" applyAlignment="1">
      <alignment horizontal="center" vertical="center" wrapText="1"/>
    </xf>
    <xf numFmtId="167" fontId="3" fillId="26" borderId="0" xfId="0" applyNumberFormat="1" applyFont="1" applyFill="1" applyAlignment="1">
      <alignment horizontal="right" vertical="center" wrapText="1"/>
    </xf>
    <xf numFmtId="3" fontId="4" fillId="26" borderId="0" xfId="0" applyNumberFormat="1" applyFont="1" applyFill="1" applyAlignment="1">
      <alignment horizontal="center" vertical="center" wrapText="1"/>
    </xf>
    <xf numFmtId="0" fontId="4" fillId="26" borderId="0" xfId="0" applyFont="1" applyFill="1" applyAlignment="1">
      <alignment horizontal="center" vertical="center" wrapText="1"/>
    </xf>
    <xf numFmtId="0" fontId="3" fillId="26" borderId="1" xfId="0" applyNumberFormat="1" applyFont="1" applyFill="1" applyBorder="1" applyAlignment="1">
      <alignment horizontal="center" vertical="center" wrapText="1"/>
    </xf>
    <xf numFmtId="169" fontId="3" fillId="26" borderId="1" xfId="281" applyNumberFormat="1" applyFont="1" applyFill="1" applyBorder="1" applyAlignment="1">
      <alignment horizontal="center" vertical="center" wrapText="1"/>
    </xf>
    <xf numFmtId="0" fontId="24" fillId="26" borderId="23" xfId="0" applyFont="1" applyFill="1" applyBorder="1" applyAlignment="1">
      <alignment horizontal="center" vertical="center" wrapText="1"/>
    </xf>
    <xf numFmtId="0" fontId="24" fillId="26" borderId="24" xfId="0" applyFont="1" applyFill="1" applyBorder="1" applyAlignment="1">
      <alignment horizontal="center" vertical="center" wrapText="1"/>
    </xf>
    <xf numFmtId="0" fontId="24" fillId="26" borderId="25" xfId="0" applyFont="1" applyFill="1" applyBorder="1" applyAlignment="1">
      <alignment horizontal="center" vertical="center" wrapText="1"/>
    </xf>
    <xf numFmtId="0" fontId="24" fillId="26" borderId="26" xfId="0" applyFont="1" applyFill="1" applyBorder="1" applyAlignment="1">
      <alignment horizontal="center" vertical="center" wrapText="1"/>
    </xf>
    <xf numFmtId="0" fontId="24" fillId="26" borderId="1" xfId="0" applyFont="1" applyFill="1" applyBorder="1" applyAlignment="1">
      <alignment horizontal="center" vertical="center"/>
    </xf>
    <xf numFmtId="181" fontId="22" fillId="26" borderId="0" xfId="0" applyNumberFormat="1" applyFont="1" applyFill="1" applyBorder="1" applyAlignment="1">
      <alignment horizontal="center"/>
    </xf>
    <xf numFmtId="0" fontId="22" fillId="26" borderId="0" xfId="0" applyFont="1" applyFill="1" applyBorder="1" applyAlignment="1">
      <alignment horizontal="center"/>
    </xf>
    <xf numFmtId="0" fontId="24" fillId="26" borderId="10" xfId="0" applyFont="1" applyFill="1" applyBorder="1" applyAlignment="1">
      <alignment horizontal="center" vertical="center"/>
    </xf>
    <xf numFmtId="0" fontId="24" fillId="26" borderId="4" xfId="0" applyFont="1" applyFill="1" applyBorder="1" applyAlignment="1">
      <alignment horizontal="center" vertical="center"/>
    </xf>
    <xf numFmtId="0" fontId="24" fillId="26" borderId="17" xfId="0" applyFont="1" applyFill="1" applyBorder="1" applyAlignment="1">
      <alignment horizontal="center" vertical="center"/>
    </xf>
    <xf numFmtId="169" fontId="19" fillId="26" borderId="21" xfId="0" applyNumberFormat="1" applyFont="1" applyFill="1" applyBorder="1" applyAlignment="1">
      <alignment horizontal="right"/>
    </xf>
    <xf numFmtId="0" fontId="24" fillId="26" borderId="1" xfId="415" applyNumberFormat="1" applyFont="1" applyFill="1" applyBorder="1" applyAlignment="1">
      <alignment horizontal="center" vertical="center" wrapText="1"/>
    </xf>
    <xf numFmtId="0" fontId="24" fillId="26" borderId="1" xfId="0" applyFont="1" applyFill="1" applyBorder="1" applyAlignment="1">
      <alignment horizontal="center" vertical="center" wrapText="1"/>
    </xf>
    <xf numFmtId="0" fontId="24" fillId="26" borderId="23" xfId="415" applyNumberFormat="1" applyFont="1" applyFill="1" applyBorder="1" applyAlignment="1">
      <alignment horizontal="center" vertical="center" wrapText="1"/>
    </xf>
    <xf numFmtId="0" fontId="24" fillId="26" borderId="20" xfId="415" applyNumberFormat="1" applyFont="1" applyFill="1" applyBorder="1" applyAlignment="1">
      <alignment horizontal="center" vertical="center" wrapText="1"/>
    </xf>
    <xf numFmtId="0" fontId="24" fillId="26" borderId="24" xfId="415" applyNumberFormat="1" applyFont="1" applyFill="1" applyBorder="1" applyAlignment="1">
      <alignment horizontal="center" vertical="center" wrapText="1"/>
    </xf>
    <xf numFmtId="0" fontId="19" fillId="26" borderId="21" xfId="0" applyFont="1" applyFill="1" applyBorder="1" applyAlignment="1">
      <alignment horizontal="right" vertical="center"/>
    </xf>
    <xf numFmtId="0" fontId="19" fillId="26" borderId="0" xfId="0" applyFont="1" applyFill="1" applyBorder="1" applyAlignment="1">
      <alignment horizontal="right"/>
    </xf>
    <xf numFmtId="0" fontId="22" fillId="26" borderId="21" xfId="0" applyFont="1" applyFill="1" applyBorder="1" applyAlignment="1">
      <alignment horizontal="center" vertical="center"/>
    </xf>
    <xf numFmtId="0" fontId="22" fillId="26" borderId="21" xfId="0" applyFont="1" applyFill="1" applyBorder="1" applyAlignment="1">
      <alignment horizontal="center"/>
    </xf>
    <xf numFmtId="0" fontId="22" fillId="26" borderId="0" xfId="0" applyFont="1" applyFill="1" applyBorder="1" applyAlignment="1">
      <alignment horizontal="right"/>
    </xf>
    <xf numFmtId="0" fontId="24" fillId="26" borderId="0" xfId="0" applyFont="1" applyFill="1" applyAlignment="1">
      <alignment horizontal="center" vertical="center" wrapText="1"/>
    </xf>
    <xf numFmtId="3" fontId="19" fillId="26" borderId="0" xfId="0" applyNumberFormat="1" applyFont="1" applyFill="1" applyAlignment="1">
      <alignment horizontal="center" vertical="center" wrapText="1"/>
    </xf>
    <xf numFmtId="0" fontId="24" fillId="26" borderId="0" xfId="0" applyFont="1" applyFill="1" applyAlignment="1">
      <alignment horizontal="center"/>
    </xf>
    <xf numFmtId="167" fontId="24" fillId="26" borderId="0" xfId="0" applyNumberFormat="1" applyFont="1" applyFill="1" applyAlignment="1">
      <alignment horizontal="center"/>
    </xf>
    <xf numFmtId="167" fontId="24" fillId="26" borderId="0" xfId="0" applyNumberFormat="1" applyFont="1" applyFill="1" applyAlignment="1">
      <alignment horizontal="right"/>
    </xf>
    <xf numFmtId="0" fontId="109" fillId="0" borderId="10" xfId="0" applyFont="1" applyBorder="1" applyAlignment="1">
      <alignment horizontal="center" vertical="center"/>
    </xf>
    <xf numFmtId="0" fontId="109" fillId="0" borderId="4" xfId="0" applyFont="1" applyBorder="1" applyAlignment="1">
      <alignment horizontal="center" vertical="center"/>
    </xf>
    <xf numFmtId="0" fontId="109" fillId="0" borderId="17" xfId="0" applyFont="1" applyBorder="1" applyAlignment="1">
      <alignment horizontal="center" vertical="center"/>
    </xf>
    <xf numFmtId="0" fontId="108" fillId="0" borderId="21" xfId="0" applyFont="1" applyBorder="1" applyAlignment="1">
      <alignment horizontal="center"/>
    </xf>
    <xf numFmtId="0" fontId="106" fillId="0" borderId="0" xfId="0" applyFont="1" applyAlignment="1">
      <alignment horizontal="center"/>
    </xf>
    <xf numFmtId="0" fontId="106" fillId="0" borderId="0" xfId="0" applyFont="1" applyAlignment="1">
      <alignment horizontal="center" vertical="center" wrapText="1"/>
    </xf>
    <xf numFmtId="3" fontId="124" fillId="0" borderId="0" xfId="0" applyNumberFormat="1" applyFont="1" applyAlignment="1">
      <alignment horizontal="center" vertical="center"/>
    </xf>
    <xf numFmtId="0" fontId="124" fillId="0" borderId="0" xfId="0" applyFont="1" applyAlignment="1">
      <alignment horizontal="center" vertical="center"/>
    </xf>
    <xf numFmtId="0" fontId="109" fillId="0" borderId="1" xfId="0" applyFont="1" applyBorder="1" applyAlignment="1">
      <alignment horizontal="center" vertical="center" wrapText="1"/>
    </xf>
    <xf numFmtId="0" fontId="109" fillId="0" borderId="10" xfId="0" applyFont="1" applyBorder="1" applyAlignment="1">
      <alignment horizontal="center" vertical="center" wrapText="1"/>
    </xf>
    <xf numFmtId="0" fontId="109" fillId="0" borderId="4" xfId="0" applyFont="1" applyBorder="1" applyAlignment="1">
      <alignment horizontal="center" vertical="center" wrapText="1"/>
    </xf>
    <xf numFmtId="0" fontId="109" fillId="0" borderId="17" xfId="0" applyFont="1" applyBorder="1" applyAlignment="1">
      <alignment horizontal="center" vertical="center" wrapText="1"/>
    </xf>
    <xf numFmtId="0" fontId="112" fillId="0" borderId="10" xfId="0" applyFont="1" applyBorder="1" applyAlignment="1">
      <alignment horizontal="center" vertical="center"/>
    </xf>
    <xf numFmtId="0" fontId="112" fillId="0" borderId="4" xfId="0" applyFont="1" applyBorder="1" applyAlignment="1">
      <alignment horizontal="center" vertical="center"/>
    </xf>
    <xf numFmtId="0" fontId="112" fillId="0" borderId="17" xfId="0" applyFont="1" applyBorder="1" applyAlignment="1">
      <alignment horizontal="center" vertical="center"/>
    </xf>
    <xf numFmtId="0" fontId="109" fillId="0" borderId="13" xfId="0" applyFont="1" applyBorder="1" applyAlignment="1">
      <alignment horizontal="center" vertical="center" wrapText="1"/>
    </xf>
    <xf numFmtId="0" fontId="109" fillId="0" borderId="16" xfId="0" applyFont="1" applyBorder="1" applyAlignment="1">
      <alignment horizontal="center" vertical="center" wrapText="1"/>
    </xf>
    <xf numFmtId="0" fontId="16" fillId="0" borderId="0" xfId="403" applyFont="1" applyAlignment="1">
      <alignment horizontal="left" vertical="center"/>
    </xf>
    <xf numFmtId="0" fontId="15" fillId="0" borderId="0" xfId="403" applyFont="1" applyAlignment="1">
      <alignment horizontal="center" vertical="center" wrapText="1"/>
    </xf>
    <xf numFmtId="0" fontId="17" fillId="0" borderId="21" xfId="403" applyFont="1" applyBorder="1" applyAlignment="1">
      <alignment horizontal="center" vertical="center" wrapText="1"/>
    </xf>
    <xf numFmtId="0" fontId="5" fillId="0" borderId="1" xfId="403" applyFont="1" applyBorder="1" applyAlignment="1">
      <alignment horizontal="center" vertical="center" wrapText="1"/>
    </xf>
    <xf numFmtId="0" fontId="23" fillId="26" borderId="0" xfId="422" applyFont="1" applyFill="1" applyAlignment="1">
      <alignment horizontal="center"/>
    </xf>
    <xf numFmtId="0" fontId="15" fillId="26" borderId="0" xfId="383" applyFont="1" applyFill="1" applyAlignment="1">
      <alignment horizontal="center"/>
    </xf>
    <xf numFmtId="0" fontId="17" fillId="26" borderId="0" xfId="383" applyFont="1" applyFill="1" applyAlignment="1">
      <alignment horizontal="center" vertical="center" wrapText="1"/>
    </xf>
    <xf numFmtId="0" fontId="16" fillId="0" borderId="0" xfId="419" applyNumberFormat="1" applyFont="1" applyFill="1" applyAlignment="1">
      <alignment horizontal="left" wrapText="1"/>
    </xf>
    <xf numFmtId="3" fontId="15" fillId="0" borderId="0" xfId="419" applyFont="1" applyFill="1" applyAlignment="1">
      <alignment horizontal="center" vertical="center" wrapText="1"/>
    </xf>
    <xf numFmtId="3" fontId="4" fillId="0" borderId="21" xfId="419" applyFont="1" applyFill="1" applyBorder="1" applyAlignment="1">
      <alignment horizontal="center" vertical="center" wrapText="1"/>
    </xf>
    <xf numFmtId="3" fontId="118" fillId="26" borderId="0" xfId="419" applyFont="1" applyFill="1" applyBorder="1" applyAlignment="1">
      <alignment horizontal="center" vertical="center" wrapText="1"/>
    </xf>
    <xf numFmtId="3" fontId="22" fillId="26" borderId="0" xfId="419" applyFont="1" applyFill="1" applyBorder="1" applyAlignment="1">
      <alignment horizontal="left" vertical="center" wrapText="1"/>
    </xf>
    <xf numFmtId="0" fontId="13" fillId="0" borderId="0" xfId="403" applyFont="1" applyAlignment="1">
      <alignment horizontal="center" vertical="center"/>
    </xf>
    <xf numFmtId="0" fontId="5" fillId="0" borderId="1" xfId="420" applyFont="1" applyFill="1" applyBorder="1" applyAlignment="1">
      <alignment horizontal="center" vertical="center" wrapText="1"/>
    </xf>
    <xf numFmtId="0" fontId="16" fillId="0" borderId="0" xfId="420" applyFont="1" applyFill="1" applyAlignment="1">
      <alignment horizontal="left" vertical="center"/>
    </xf>
    <xf numFmtId="0" fontId="15" fillId="0" borderId="0" xfId="420" applyFont="1" applyFill="1" applyAlignment="1">
      <alignment horizontal="center" vertical="center"/>
    </xf>
    <xf numFmtId="3" fontId="17" fillId="0" borderId="0" xfId="420" applyNumberFormat="1" applyFont="1" applyFill="1" applyAlignment="1">
      <alignment horizontal="center" vertical="center"/>
    </xf>
    <xf numFmtId="0" fontId="17" fillId="0" borderId="0" xfId="420" applyFont="1" applyFill="1" applyAlignment="1">
      <alignment horizontal="center" vertical="center"/>
    </xf>
    <xf numFmtId="0" fontId="12" fillId="0" borderId="21" xfId="420" applyFont="1" applyFill="1" applyBorder="1" applyAlignment="1">
      <alignment horizontal="center" vertical="center" wrapText="1"/>
    </xf>
    <xf numFmtId="0" fontId="5" fillId="0" borderId="1" xfId="420" applyFont="1" applyFill="1" applyBorder="1" applyAlignment="1">
      <alignment horizontal="center" vertical="center"/>
    </xf>
    <xf numFmtId="0" fontId="5" fillId="0" borderId="13" xfId="420" applyFont="1" applyFill="1" applyBorder="1" applyAlignment="1">
      <alignment horizontal="center" vertical="center" wrapText="1"/>
    </xf>
    <xf numFmtId="0" fontId="5" fillId="0" borderId="16" xfId="420" applyFont="1" applyFill="1" applyBorder="1" applyAlignment="1">
      <alignment horizontal="center" vertical="center" wrapText="1"/>
    </xf>
    <xf numFmtId="0" fontId="3" fillId="26" borderId="1" xfId="0" applyFont="1" applyFill="1" applyBorder="1" applyAlignment="1">
      <alignment horizontal="center"/>
    </xf>
    <xf numFmtId="0" fontId="3" fillId="26" borderId="0" xfId="0" applyFont="1" applyFill="1" applyAlignment="1">
      <alignment horizontal="right"/>
    </xf>
    <xf numFmtId="0" fontId="4" fillId="26" borderId="21" xfId="415" applyFont="1" applyFill="1" applyBorder="1" applyAlignment="1">
      <alignment horizontal="right"/>
    </xf>
    <xf numFmtId="0" fontId="3" fillId="26" borderId="0" xfId="415" applyFont="1" applyFill="1" applyAlignment="1">
      <alignment horizontal="center" vertical="center"/>
    </xf>
    <xf numFmtId="3" fontId="4" fillId="26" borderId="0" xfId="415" applyNumberFormat="1" applyFont="1" applyFill="1" applyAlignment="1">
      <alignment horizontal="center" vertical="center"/>
    </xf>
    <xf numFmtId="0" fontId="3" fillId="26" borderId="0" xfId="414" applyNumberFormat="1" applyFont="1" applyFill="1" applyAlignment="1">
      <alignment horizontal="center" vertical="center"/>
    </xf>
    <xf numFmtId="171" fontId="132" fillId="0" borderId="13" xfId="0" applyNumberFormat="1" applyFont="1" applyFill="1" applyBorder="1" applyAlignment="1">
      <alignment horizontal="center" vertical="center" wrapText="1"/>
    </xf>
    <xf numFmtId="171" fontId="132" fillId="0" borderId="14" xfId="0" applyNumberFormat="1" applyFont="1" applyFill="1" applyBorder="1" applyAlignment="1">
      <alignment horizontal="center" vertical="center" wrapText="1"/>
    </xf>
    <xf numFmtId="171" fontId="132" fillId="0" borderId="16" xfId="0" applyNumberFormat="1" applyFont="1" applyFill="1" applyBorder="1" applyAlignment="1">
      <alignment horizontal="center" vertical="center" wrapText="1"/>
    </xf>
    <xf numFmtId="0" fontId="129" fillId="0" borderId="21" xfId="0" applyFont="1" applyFill="1" applyBorder="1" applyAlignment="1">
      <alignment horizontal="right" vertical="center"/>
    </xf>
    <xf numFmtId="0" fontId="127" fillId="0" borderId="0" xfId="0" applyFont="1" applyFill="1" applyAlignment="1">
      <alignment horizontal="left"/>
    </xf>
    <xf numFmtId="167" fontId="127" fillId="0" borderId="0" xfId="0" applyNumberFormat="1" applyFont="1" applyFill="1" applyAlignment="1">
      <alignment horizontal="right"/>
    </xf>
    <xf numFmtId="167" fontId="127" fillId="0" borderId="0" xfId="0" applyNumberFormat="1" applyFont="1" applyFill="1" applyAlignment="1">
      <alignment horizontal="center"/>
    </xf>
    <xf numFmtId="0" fontId="127" fillId="0" borderId="0" xfId="0" applyFont="1" applyFill="1" applyAlignment="1">
      <alignment horizontal="center" vertical="center"/>
    </xf>
    <xf numFmtId="3" fontId="129" fillId="0" borderId="0" xfId="0" applyNumberFormat="1" applyFont="1" applyFill="1" applyAlignment="1">
      <alignment horizontal="center" vertical="center" wrapText="1"/>
    </xf>
    <xf numFmtId="3" fontId="129" fillId="0" borderId="0" xfId="0" applyNumberFormat="1" applyFont="1" applyFill="1" applyAlignment="1">
      <alignment horizontal="center" vertical="center"/>
    </xf>
  </cellXfs>
  <cellStyles count="559">
    <cellStyle name="_x0001_" xfId="1" xr:uid="{00000000-0005-0000-0000-000000000000}"/>
    <cellStyle name="          _x000d__x000a_shell=progman.exe_x000d__x000a_m" xfId="2" xr:uid="{00000000-0005-0000-0000-000001000000}"/>
    <cellStyle name="#,##0" xfId="3" xr:uid="{00000000-0005-0000-0000-000002000000}"/>
    <cellStyle name="??" xfId="4" xr:uid="{00000000-0005-0000-0000-000003000000}"/>
    <cellStyle name="?? [0.00]_      " xfId="5" xr:uid="{00000000-0005-0000-0000-000004000000}"/>
    <cellStyle name="?? [0]" xfId="6" xr:uid="{00000000-0005-0000-0000-000005000000}"/>
    <cellStyle name="???? [0.00]_      " xfId="7" xr:uid="{00000000-0005-0000-0000-000006000000}"/>
    <cellStyle name="????_      " xfId="8" xr:uid="{00000000-0005-0000-0000-000007000000}"/>
    <cellStyle name="???[0]_?? DI" xfId="9" xr:uid="{00000000-0005-0000-0000-000008000000}"/>
    <cellStyle name="???_?? DI" xfId="10" xr:uid="{00000000-0005-0000-0000-000009000000}"/>
    <cellStyle name="??[0]_BRE" xfId="11" xr:uid="{00000000-0005-0000-0000-00000A000000}"/>
    <cellStyle name="??_      " xfId="12" xr:uid="{00000000-0005-0000-0000-00000B000000}"/>
    <cellStyle name="_x0001_?¶æµ_x001b_ºß­ " xfId="13" xr:uid="{00000000-0005-0000-0000-00000C000000}"/>
    <cellStyle name="_x0001_?¶æµ_x001b_ºß­_" xfId="14" xr:uid="{00000000-0005-0000-0000-00000D000000}"/>
    <cellStyle name="_x0001_\Ô" xfId="15" xr:uid="{00000000-0005-0000-0000-00000E000000}"/>
    <cellStyle name="_Book1" xfId="16" xr:uid="{00000000-0005-0000-0000-00000F000000}"/>
    <cellStyle name="_Book1_1" xfId="17" xr:uid="{00000000-0005-0000-0000-000010000000}"/>
    <cellStyle name="_Book1_Book1" xfId="18" xr:uid="{00000000-0005-0000-0000-000011000000}"/>
    <cellStyle name="_Book1_quyet toan 2018" xfId="19" xr:uid="{00000000-0005-0000-0000-000012000000}"/>
    <cellStyle name="_Book1_quyet toan 2018. A TUYNH" xfId="20" xr:uid="{00000000-0005-0000-0000-000013000000}"/>
    <cellStyle name="_Book1_THUY DIEN DA KHAI THAM DINH" xfId="21" xr:uid="{00000000-0005-0000-0000-000014000000}"/>
    <cellStyle name="_Goi 1 A tham tra" xfId="22" xr:uid="{00000000-0005-0000-0000-000015000000}"/>
    <cellStyle name="_KT (2)" xfId="23" xr:uid="{00000000-0005-0000-0000-000016000000}"/>
    <cellStyle name="_KT (2)_1" xfId="24" xr:uid="{00000000-0005-0000-0000-000017000000}"/>
    <cellStyle name="_KT (2)_2" xfId="25" xr:uid="{00000000-0005-0000-0000-000018000000}"/>
    <cellStyle name="_KT (2)_2_TG-TH" xfId="26" xr:uid="{00000000-0005-0000-0000-000019000000}"/>
    <cellStyle name="_KT (2)_2_TG-TH_Book1" xfId="27" xr:uid="{00000000-0005-0000-0000-00001A000000}"/>
    <cellStyle name="_KT (2)_2_TG-TH_THUY DIEN DA KHAI THAM DINH" xfId="28" xr:uid="{00000000-0005-0000-0000-00001B000000}"/>
    <cellStyle name="_KT (2)_3" xfId="29" xr:uid="{00000000-0005-0000-0000-00001C000000}"/>
    <cellStyle name="_KT (2)_3_TG-TH" xfId="30" xr:uid="{00000000-0005-0000-0000-00001D000000}"/>
    <cellStyle name="_KT (2)_3_TG-TH_Book1" xfId="31" xr:uid="{00000000-0005-0000-0000-00001E000000}"/>
    <cellStyle name="_KT (2)_3_TG-TH_THUY DIEN DA KHAI THAM DINH" xfId="32" xr:uid="{00000000-0005-0000-0000-00001F000000}"/>
    <cellStyle name="_KT (2)_4" xfId="33" xr:uid="{00000000-0005-0000-0000-000020000000}"/>
    <cellStyle name="_KT (2)_4_Book1" xfId="34" xr:uid="{00000000-0005-0000-0000-000021000000}"/>
    <cellStyle name="_KT (2)_4_TG-TH" xfId="35" xr:uid="{00000000-0005-0000-0000-000022000000}"/>
    <cellStyle name="_KT (2)_4_THUY DIEN DA KHAI THAM DINH" xfId="36" xr:uid="{00000000-0005-0000-0000-000023000000}"/>
    <cellStyle name="_KT (2)_5" xfId="37" xr:uid="{00000000-0005-0000-0000-000024000000}"/>
    <cellStyle name="_KT (2)_5_Book1" xfId="38" xr:uid="{00000000-0005-0000-0000-000025000000}"/>
    <cellStyle name="_KT (2)_5_THUY DIEN DA KHAI THAM DINH" xfId="39" xr:uid="{00000000-0005-0000-0000-000026000000}"/>
    <cellStyle name="_KT (2)_Book1" xfId="40" xr:uid="{00000000-0005-0000-0000-000027000000}"/>
    <cellStyle name="_KT (2)_TG-TH" xfId="41" xr:uid="{00000000-0005-0000-0000-000028000000}"/>
    <cellStyle name="_KT (2)_THUY DIEN DA KHAI THAM DINH" xfId="42" xr:uid="{00000000-0005-0000-0000-000029000000}"/>
    <cellStyle name="_KT_TG" xfId="43" xr:uid="{00000000-0005-0000-0000-00002A000000}"/>
    <cellStyle name="_KT_TG_1" xfId="44" xr:uid="{00000000-0005-0000-0000-00002B000000}"/>
    <cellStyle name="_KT_TG_1_Book1" xfId="45" xr:uid="{00000000-0005-0000-0000-00002C000000}"/>
    <cellStyle name="_KT_TG_1_THUY DIEN DA KHAI THAM DINH" xfId="46" xr:uid="{00000000-0005-0000-0000-00002D000000}"/>
    <cellStyle name="_KT_TG_2" xfId="47" xr:uid="{00000000-0005-0000-0000-00002E000000}"/>
    <cellStyle name="_KT_TG_2_Book1" xfId="48" xr:uid="{00000000-0005-0000-0000-00002F000000}"/>
    <cellStyle name="_KT_TG_2_THUY DIEN DA KHAI THAM DINH" xfId="49" xr:uid="{00000000-0005-0000-0000-000030000000}"/>
    <cellStyle name="_KT_TG_3" xfId="50" xr:uid="{00000000-0005-0000-0000-000031000000}"/>
    <cellStyle name="_KT_TG_4" xfId="51" xr:uid="{00000000-0005-0000-0000-000032000000}"/>
    <cellStyle name="_TG-TH" xfId="52" xr:uid="{00000000-0005-0000-0000-000033000000}"/>
    <cellStyle name="_TG-TH_1" xfId="53" xr:uid="{00000000-0005-0000-0000-000034000000}"/>
    <cellStyle name="_TG-TH_1_Book1" xfId="54" xr:uid="{00000000-0005-0000-0000-000035000000}"/>
    <cellStyle name="_TG-TH_1_THUY DIEN DA KHAI THAM DINH" xfId="55" xr:uid="{00000000-0005-0000-0000-000036000000}"/>
    <cellStyle name="_TG-TH_2" xfId="56" xr:uid="{00000000-0005-0000-0000-000037000000}"/>
    <cellStyle name="_TG-TH_2_Book1" xfId="57" xr:uid="{00000000-0005-0000-0000-000038000000}"/>
    <cellStyle name="_TG-TH_2_THUY DIEN DA KHAI THAM DINH" xfId="58" xr:uid="{00000000-0005-0000-0000-000039000000}"/>
    <cellStyle name="_TG-TH_3" xfId="59" xr:uid="{00000000-0005-0000-0000-00003A000000}"/>
    <cellStyle name="_TG-TH_4" xfId="60" xr:uid="{00000000-0005-0000-0000-00003B000000}"/>
    <cellStyle name="_THUY DIEN DA KHAI THAM DINH" xfId="61" xr:uid="{00000000-0005-0000-0000-00003C000000}"/>
    <cellStyle name="_ÿÿÿÿÿ" xfId="62" xr:uid="{00000000-0005-0000-0000-00003D000000}"/>
    <cellStyle name="_ÿÿÿÿÿ_quyet toan 2018" xfId="63" xr:uid="{00000000-0005-0000-0000-00003E000000}"/>
    <cellStyle name="_ÿÿÿÿÿ_quyet toan 2018. A TUYNH" xfId="64" xr:uid="{00000000-0005-0000-0000-00003F000000}"/>
    <cellStyle name="_x0001_¨c^ " xfId="65" xr:uid="{00000000-0005-0000-0000-000040000000}"/>
    <cellStyle name="_x0001_¨c^[" xfId="66" xr:uid="{00000000-0005-0000-0000-000041000000}"/>
    <cellStyle name="_x0001_¨c^_" xfId="67" xr:uid="{00000000-0005-0000-0000-000042000000}"/>
    <cellStyle name="_x0001_¨Œc^ " xfId="68" xr:uid="{00000000-0005-0000-0000-000043000000}"/>
    <cellStyle name="_x0001_¨Œc^[" xfId="69" xr:uid="{00000000-0005-0000-0000-000044000000}"/>
    <cellStyle name="_x0001_¨Œc^_" xfId="70" xr:uid="{00000000-0005-0000-0000-000045000000}"/>
    <cellStyle name="_x0001_µÑTÖ " xfId="71" xr:uid="{00000000-0005-0000-0000-000046000000}"/>
    <cellStyle name="_x0001_µÑTÖ_" xfId="72" xr:uid="{00000000-0005-0000-0000-000047000000}"/>
    <cellStyle name="•W€_’·Šú‰p•¶" xfId="73" xr:uid="{00000000-0005-0000-0000-000048000000}"/>
    <cellStyle name="•W_’·Šú‰p•¶" xfId="74" xr:uid="{00000000-0005-0000-0000-000049000000}"/>
    <cellStyle name="W_MARINE" xfId="75" xr:uid="{00000000-0005-0000-0000-00004A000000}"/>
    <cellStyle name="0.0" xfId="76" xr:uid="{00000000-0005-0000-0000-00004B000000}"/>
    <cellStyle name="0.00" xfId="77" xr:uid="{00000000-0005-0000-0000-00004C000000}"/>
    <cellStyle name="1" xfId="78" xr:uid="{00000000-0005-0000-0000-00004D000000}"/>
    <cellStyle name="1_Bang tong hop khoi luong" xfId="79" xr:uid="{00000000-0005-0000-0000-00004E000000}"/>
    <cellStyle name="1_Book1" xfId="80" xr:uid="{00000000-0005-0000-0000-00004F000000}"/>
    <cellStyle name="1_Book1_1" xfId="81" xr:uid="{00000000-0005-0000-0000-000050000000}"/>
    <cellStyle name="1_Book1_Bang noi suy KL dao dat da" xfId="82" xr:uid="{00000000-0005-0000-0000-000051000000}"/>
    <cellStyle name="1_Book1_Book1" xfId="83" xr:uid="{00000000-0005-0000-0000-000052000000}"/>
    <cellStyle name="1_Cau Hua Trai (TT 04)" xfId="84" xr:uid="{00000000-0005-0000-0000-000053000000}"/>
    <cellStyle name="1_Cau thuy dien Ban La (Cu Anh)" xfId="85" xr:uid="{00000000-0005-0000-0000-000054000000}"/>
    <cellStyle name="1_DIEN" xfId="86" xr:uid="{00000000-0005-0000-0000-000055000000}"/>
    <cellStyle name="1_DT KT ngay 10-9-2005" xfId="87" xr:uid="{00000000-0005-0000-0000-000056000000}"/>
    <cellStyle name="1_DTXL goi 11(20-9-05)" xfId="88" xr:uid="{00000000-0005-0000-0000-000057000000}"/>
    <cellStyle name="1_Du toan (23-05-2005) Tham dinh" xfId="89" xr:uid="{00000000-0005-0000-0000-000058000000}"/>
    <cellStyle name="1_Du toan (5 - 04 - 2004)" xfId="90" xr:uid="{00000000-0005-0000-0000-000059000000}"/>
    <cellStyle name="1_Du toan 558 (Km17+508.12 - Km 22)" xfId="91" xr:uid="{00000000-0005-0000-0000-00005A000000}"/>
    <cellStyle name="1_Du toan bo sung (11-2004)" xfId="92" xr:uid="{00000000-0005-0000-0000-00005B000000}"/>
    <cellStyle name="1_Du toan Goi 1" xfId="93" xr:uid="{00000000-0005-0000-0000-00005C000000}"/>
    <cellStyle name="1_Du toan Goi 2" xfId="94" xr:uid="{00000000-0005-0000-0000-00005D000000}"/>
    <cellStyle name="1_Du toan ngay 1-9-2004 (version 1)" xfId="95" xr:uid="{00000000-0005-0000-0000-00005E000000}"/>
    <cellStyle name="1_Duyet DT-KTTC(GDI)QD so 790" xfId="96" xr:uid="{00000000-0005-0000-0000-00005F000000}"/>
    <cellStyle name="1_goi 1" xfId="98" xr:uid="{00000000-0005-0000-0000-000061000000}"/>
    <cellStyle name="1_Goi 1 (TT04)" xfId="99" xr:uid="{00000000-0005-0000-0000-000062000000}"/>
    <cellStyle name="1_Goi1N206" xfId="100" xr:uid="{00000000-0005-0000-0000-000063000000}"/>
    <cellStyle name="1_Goi2N206" xfId="101" xr:uid="{00000000-0005-0000-0000-000064000000}"/>
    <cellStyle name="1_Goi4N216" xfId="102" xr:uid="{00000000-0005-0000-0000-000065000000}"/>
    <cellStyle name="1_Goi5N216" xfId="103" xr:uid="{00000000-0005-0000-0000-000066000000}"/>
    <cellStyle name="1_Gia_VLQL48_duyet " xfId="97" xr:uid="{00000000-0005-0000-0000-000060000000}"/>
    <cellStyle name="1_Hoi Song" xfId="104" xr:uid="{00000000-0005-0000-0000-000067000000}"/>
    <cellStyle name="1_Kl6-6-05" xfId="105" xr:uid="{00000000-0005-0000-0000-000068000000}"/>
    <cellStyle name="1_KlQdinhduyet" xfId="106" xr:uid="{00000000-0005-0000-0000-000069000000}"/>
    <cellStyle name="1_Kltayth" xfId="107" xr:uid="{00000000-0005-0000-0000-00006A000000}"/>
    <cellStyle name="1_Kluong4-2004" xfId="108" xr:uid="{00000000-0005-0000-0000-00006B000000}"/>
    <cellStyle name="1_TDT VINH - DUYET (CAU+DUONG)" xfId="109" xr:uid="{00000000-0005-0000-0000-00006C000000}"/>
    <cellStyle name="1_TRUNG PMU 5" xfId="110" xr:uid="{00000000-0005-0000-0000-00006D000000}"/>
    <cellStyle name="1_ÿÿÿÿÿ" xfId="111" xr:uid="{00000000-0005-0000-0000-00006E000000}"/>
    <cellStyle name="1_ÿÿÿÿÿ_Book1" xfId="112" xr:uid="{00000000-0005-0000-0000-00006F000000}"/>
    <cellStyle name="_x0001_1¼„½(" xfId="113" xr:uid="{00000000-0005-0000-0000-000070000000}"/>
    <cellStyle name="_x0001_1¼½(" xfId="114" xr:uid="{00000000-0005-0000-0000-000071000000}"/>
    <cellStyle name="¹éºÐÀ²_      " xfId="115" xr:uid="{00000000-0005-0000-0000-000072000000}"/>
    <cellStyle name="2" xfId="116" xr:uid="{00000000-0005-0000-0000-000073000000}"/>
    <cellStyle name="2_Bang tong hop khoi luong" xfId="117" xr:uid="{00000000-0005-0000-0000-000074000000}"/>
    <cellStyle name="2_Book1" xfId="118" xr:uid="{00000000-0005-0000-0000-000075000000}"/>
    <cellStyle name="2_Book1_1" xfId="119" xr:uid="{00000000-0005-0000-0000-000076000000}"/>
    <cellStyle name="2_Book1_Bang noi suy KL dao dat da" xfId="120" xr:uid="{00000000-0005-0000-0000-000077000000}"/>
    <cellStyle name="2_Book1_Book1" xfId="121" xr:uid="{00000000-0005-0000-0000-000078000000}"/>
    <cellStyle name="2_Cau Hua Trai (TT 04)" xfId="122" xr:uid="{00000000-0005-0000-0000-000079000000}"/>
    <cellStyle name="2_Cau thuy dien Ban La (Cu Anh)" xfId="123" xr:uid="{00000000-0005-0000-0000-00007A000000}"/>
    <cellStyle name="2_DIEN" xfId="124" xr:uid="{00000000-0005-0000-0000-00007B000000}"/>
    <cellStyle name="2_DT KT ngay 10-9-2005" xfId="125" xr:uid="{00000000-0005-0000-0000-00007C000000}"/>
    <cellStyle name="2_DTXL goi 11(20-9-05)" xfId="126" xr:uid="{00000000-0005-0000-0000-00007D000000}"/>
    <cellStyle name="2_Du toan (23-05-2005) Tham dinh" xfId="127" xr:uid="{00000000-0005-0000-0000-00007E000000}"/>
    <cellStyle name="2_Du toan (5 - 04 - 2004)" xfId="128" xr:uid="{00000000-0005-0000-0000-00007F000000}"/>
    <cellStyle name="2_Du toan 558 (Km17+508.12 - Km 22)" xfId="129" xr:uid="{00000000-0005-0000-0000-000080000000}"/>
    <cellStyle name="2_Du toan bo sung (11-2004)" xfId="130" xr:uid="{00000000-0005-0000-0000-000081000000}"/>
    <cellStyle name="2_Du toan Goi 1" xfId="131" xr:uid="{00000000-0005-0000-0000-000082000000}"/>
    <cellStyle name="2_Du toan Goi 2" xfId="132" xr:uid="{00000000-0005-0000-0000-000083000000}"/>
    <cellStyle name="2_Du toan ngay 1-9-2004 (version 1)" xfId="133" xr:uid="{00000000-0005-0000-0000-000084000000}"/>
    <cellStyle name="2_Duyet DT-KTTC(GDI)QD so 790" xfId="134" xr:uid="{00000000-0005-0000-0000-000085000000}"/>
    <cellStyle name="2_goi 1" xfId="136" xr:uid="{00000000-0005-0000-0000-000087000000}"/>
    <cellStyle name="2_Goi 1 (TT04)" xfId="137" xr:uid="{00000000-0005-0000-0000-000088000000}"/>
    <cellStyle name="2_Goi1N206" xfId="138" xr:uid="{00000000-0005-0000-0000-000089000000}"/>
    <cellStyle name="2_Goi2N206" xfId="139" xr:uid="{00000000-0005-0000-0000-00008A000000}"/>
    <cellStyle name="2_Goi4N216" xfId="140" xr:uid="{00000000-0005-0000-0000-00008B000000}"/>
    <cellStyle name="2_Goi5N216" xfId="141" xr:uid="{00000000-0005-0000-0000-00008C000000}"/>
    <cellStyle name="2_Gia_VLQL48_duyet " xfId="135" xr:uid="{00000000-0005-0000-0000-000086000000}"/>
    <cellStyle name="2_Hoi Song" xfId="142" xr:uid="{00000000-0005-0000-0000-00008D000000}"/>
    <cellStyle name="2_Kl6-6-05" xfId="143" xr:uid="{00000000-0005-0000-0000-00008E000000}"/>
    <cellStyle name="2_KlQdinhduyet" xfId="144" xr:uid="{00000000-0005-0000-0000-00008F000000}"/>
    <cellStyle name="2_Kltayth" xfId="145" xr:uid="{00000000-0005-0000-0000-000090000000}"/>
    <cellStyle name="2_Kluong4-2004" xfId="146" xr:uid="{00000000-0005-0000-0000-000091000000}"/>
    <cellStyle name="2_TDT VINH - DUYET (CAU+DUONG)" xfId="147" xr:uid="{00000000-0005-0000-0000-000092000000}"/>
    <cellStyle name="2_TRUNG PMU 5" xfId="148" xr:uid="{00000000-0005-0000-0000-000093000000}"/>
    <cellStyle name="2_ÿÿÿÿÿ" xfId="149" xr:uid="{00000000-0005-0000-0000-000094000000}"/>
    <cellStyle name="2_ÿÿÿÿÿ_Book1" xfId="150" xr:uid="{00000000-0005-0000-0000-000095000000}"/>
    <cellStyle name="20" xfId="151" xr:uid="{00000000-0005-0000-0000-000096000000}"/>
    <cellStyle name="20% - Accent1" xfId="152" builtinId="30" customBuiltin="1"/>
    <cellStyle name="20% - Accent2" xfId="153" builtinId="34" customBuiltin="1"/>
    <cellStyle name="20% - Accent3" xfId="154" builtinId="38" customBuiltin="1"/>
    <cellStyle name="20% - Accent4" xfId="155" builtinId="42" customBuiltin="1"/>
    <cellStyle name="20% - Accent5" xfId="156" builtinId="46" customBuiltin="1"/>
    <cellStyle name="20% - Accent6" xfId="157" builtinId="50" customBuiltin="1"/>
    <cellStyle name="3" xfId="158" xr:uid="{00000000-0005-0000-0000-00009D000000}"/>
    <cellStyle name="3_Bang tong hop khoi luong" xfId="159" xr:uid="{00000000-0005-0000-0000-00009E000000}"/>
    <cellStyle name="3_Book1" xfId="160" xr:uid="{00000000-0005-0000-0000-00009F000000}"/>
    <cellStyle name="3_Book1_1" xfId="161" xr:uid="{00000000-0005-0000-0000-0000A0000000}"/>
    <cellStyle name="3_Book1_Bang noi suy KL dao dat da" xfId="162" xr:uid="{00000000-0005-0000-0000-0000A1000000}"/>
    <cellStyle name="3_Book1_Book1" xfId="163" xr:uid="{00000000-0005-0000-0000-0000A2000000}"/>
    <cellStyle name="3_Cau Hua Trai (TT 04)" xfId="164" xr:uid="{00000000-0005-0000-0000-0000A3000000}"/>
    <cellStyle name="3_Cau thuy dien Ban La (Cu Anh)" xfId="165" xr:uid="{00000000-0005-0000-0000-0000A4000000}"/>
    <cellStyle name="3_DIEN" xfId="166" xr:uid="{00000000-0005-0000-0000-0000A5000000}"/>
    <cellStyle name="3_DT KT ngay 10-9-2005" xfId="167" xr:uid="{00000000-0005-0000-0000-0000A6000000}"/>
    <cellStyle name="3_DTXL goi 11(20-9-05)" xfId="168" xr:uid="{00000000-0005-0000-0000-0000A7000000}"/>
    <cellStyle name="3_Du toan (23-05-2005) Tham dinh" xfId="169" xr:uid="{00000000-0005-0000-0000-0000A8000000}"/>
    <cellStyle name="3_Du toan (5 - 04 - 2004)" xfId="170" xr:uid="{00000000-0005-0000-0000-0000A9000000}"/>
    <cellStyle name="3_Du toan 558 (Km17+508.12 - Km 22)" xfId="171" xr:uid="{00000000-0005-0000-0000-0000AA000000}"/>
    <cellStyle name="3_Du toan bo sung (11-2004)" xfId="172" xr:uid="{00000000-0005-0000-0000-0000AB000000}"/>
    <cellStyle name="3_Du toan Goi 1" xfId="173" xr:uid="{00000000-0005-0000-0000-0000AC000000}"/>
    <cellStyle name="3_Du toan Goi 2" xfId="174" xr:uid="{00000000-0005-0000-0000-0000AD000000}"/>
    <cellStyle name="3_Du toan ngay 1-9-2004 (version 1)" xfId="175" xr:uid="{00000000-0005-0000-0000-0000AE000000}"/>
    <cellStyle name="3_Duyet DT-KTTC(GDI)QD so 790" xfId="176" xr:uid="{00000000-0005-0000-0000-0000AF000000}"/>
    <cellStyle name="3_goi 1" xfId="178" xr:uid="{00000000-0005-0000-0000-0000B1000000}"/>
    <cellStyle name="3_Goi 1 (TT04)" xfId="179" xr:uid="{00000000-0005-0000-0000-0000B2000000}"/>
    <cellStyle name="3_Goi1N206" xfId="180" xr:uid="{00000000-0005-0000-0000-0000B3000000}"/>
    <cellStyle name="3_Goi2N206" xfId="181" xr:uid="{00000000-0005-0000-0000-0000B4000000}"/>
    <cellStyle name="3_Goi4N216" xfId="182" xr:uid="{00000000-0005-0000-0000-0000B5000000}"/>
    <cellStyle name="3_Goi5N216" xfId="183" xr:uid="{00000000-0005-0000-0000-0000B6000000}"/>
    <cellStyle name="3_Gia_VLQL48_duyet " xfId="177" xr:uid="{00000000-0005-0000-0000-0000B0000000}"/>
    <cellStyle name="3_Hoi Song" xfId="184" xr:uid="{00000000-0005-0000-0000-0000B7000000}"/>
    <cellStyle name="3_Kl6-6-05" xfId="185" xr:uid="{00000000-0005-0000-0000-0000B8000000}"/>
    <cellStyle name="3_KlQdinhduyet" xfId="186" xr:uid="{00000000-0005-0000-0000-0000B9000000}"/>
    <cellStyle name="3_Kltayth" xfId="187" xr:uid="{00000000-0005-0000-0000-0000BA000000}"/>
    <cellStyle name="3_Kluong4-2004" xfId="188" xr:uid="{00000000-0005-0000-0000-0000BB000000}"/>
    <cellStyle name="3_TDT VINH - DUYET (CAU+DUONG)" xfId="189" xr:uid="{00000000-0005-0000-0000-0000BC000000}"/>
    <cellStyle name="3_ÿÿÿÿÿ" xfId="190" xr:uid="{00000000-0005-0000-0000-0000BD000000}"/>
    <cellStyle name="4" xfId="191" xr:uid="{00000000-0005-0000-0000-0000BE000000}"/>
    <cellStyle name="4_Bang tong hop khoi luong" xfId="192" xr:uid="{00000000-0005-0000-0000-0000BF000000}"/>
    <cellStyle name="4_Book1" xfId="193" xr:uid="{00000000-0005-0000-0000-0000C0000000}"/>
    <cellStyle name="4_Book1_1" xfId="194" xr:uid="{00000000-0005-0000-0000-0000C1000000}"/>
    <cellStyle name="4_Book1_Bang noi suy KL dao dat da" xfId="195" xr:uid="{00000000-0005-0000-0000-0000C2000000}"/>
    <cellStyle name="4_Book1_Book1" xfId="196" xr:uid="{00000000-0005-0000-0000-0000C3000000}"/>
    <cellStyle name="4_Cau Hua Trai (TT 04)" xfId="197" xr:uid="{00000000-0005-0000-0000-0000C4000000}"/>
    <cellStyle name="4_Cau thuy dien Ban La (Cu Anh)" xfId="198" xr:uid="{00000000-0005-0000-0000-0000C5000000}"/>
    <cellStyle name="4_DIEN" xfId="199" xr:uid="{00000000-0005-0000-0000-0000C6000000}"/>
    <cellStyle name="4_DT KT ngay 10-9-2005" xfId="200" xr:uid="{00000000-0005-0000-0000-0000C7000000}"/>
    <cellStyle name="4_DTXL goi 11(20-9-05)" xfId="201" xr:uid="{00000000-0005-0000-0000-0000C8000000}"/>
    <cellStyle name="4_Du toan (23-05-2005) Tham dinh" xfId="202" xr:uid="{00000000-0005-0000-0000-0000C9000000}"/>
    <cellStyle name="4_Du toan (5 - 04 - 2004)" xfId="203" xr:uid="{00000000-0005-0000-0000-0000CA000000}"/>
    <cellStyle name="4_Du toan 558 (Km17+508.12 - Km 22)" xfId="204" xr:uid="{00000000-0005-0000-0000-0000CB000000}"/>
    <cellStyle name="4_Du toan bo sung (11-2004)" xfId="205" xr:uid="{00000000-0005-0000-0000-0000CC000000}"/>
    <cellStyle name="4_Du toan Goi 1" xfId="206" xr:uid="{00000000-0005-0000-0000-0000CD000000}"/>
    <cellStyle name="4_Du toan Goi 2" xfId="207" xr:uid="{00000000-0005-0000-0000-0000CE000000}"/>
    <cellStyle name="4_Du toan ngay 1-9-2004 (version 1)" xfId="208" xr:uid="{00000000-0005-0000-0000-0000CF000000}"/>
    <cellStyle name="4_Duyet DT-KTTC(GDI)QD so 790" xfId="209" xr:uid="{00000000-0005-0000-0000-0000D0000000}"/>
    <cellStyle name="4_goi 1" xfId="211" xr:uid="{00000000-0005-0000-0000-0000D2000000}"/>
    <cellStyle name="4_Goi 1 (TT04)" xfId="212" xr:uid="{00000000-0005-0000-0000-0000D3000000}"/>
    <cellStyle name="4_Goi1N206" xfId="213" xr:uid="{00000000-0005-0000-0000-0000D4000000}"/>
    <cellStyle name="4_Goi2N206" xfId="214" xr:uid="{00000000-0005-0000-0000-0000D5000000}"/>
    <cellStyle name="4_Goi4N216" xfId="215" xr:uid="{00000000-0005-0000-0000-0000D6000000}"/>
    <cellStyle name="4_Goi5N216" xfId="216" xr:uid="{00000000-0005-0000-0000-0000D7000000}"/>
    <cellStyle name="4_Gia_VLQL48_duyet " xfId="210" xr:uid="{00000000-0005-0000-0000-0000D1000000}"/>
    <cellStyle name="4_Hoi Song" xfId="217" xr:uid="{00000000-0005-0000-0000-0000D8000000}"/>
    <cellStyle name="4_Kl6-6-05" xfId="218" xr:uid="{00000000-0005-0000-0000-0000D9000000}"/>
    <cellStyle name="4_KlQdinhduyet" xfId="219" xr:uid="{00000000-0005-0000-0000-0000DA000000}"/>
    <cellStyle name="4_Kltayth" xfId="220" xr:uid="{00000000-0005-0000-0000-0000DB000000}"/>
    <cellStyle name="4_Kluong4-2004" xfId="221" xr:uid="{00000000-0005-0000-0000-0000DC000000}"/>
    <cellStyle name="4_TDT VINH - DUYET (CAU+DUONG)" xfId="222" xr:uid="{00000000-0005-0000-0000-0000DD000000}"/>
    <cellStyle name="4_ÿÿÿÿÿ" xfId="223" xr:uid="{00000000-0005-0000-0000-0000DE000000}"/>
    <cellStyle name="40% - Accent1" xfId="224" builtinId="31" customBuiltin="1"/>
    <cellStyle name="40% - Accent2" xfId="225" builtinId="35" customBuiltin="1"/>
    <cellStyle name="40% - Accent3" xfId="226" builtinId="39" customBuiltin="1"/>
    <cellStyle name="40% - Accent4" xfId="227" builtinId="43" customBuiltin="1"/>
    <cellStyle name="40% - Accent5" xfId="228" builtinId="47" customBuiltin="1"/>
    <cellStyle name="40% - Accent6" xfId="229" builtinId="51" customBuiltin="1"/>
    <cellStyle name="6" xfId="230" xr:uid="{00000000-0005-0000-0000-0000E5000000}"/>
    <cellStyle name="6_quyet toan 2018" xfId="231" xr:uid="{00000000-0005-0000-0000-0000E6000000}"/>
    <cellStyle name="6_quyet toan 2018. A TUYNH" xfId="232" xr:uid="{00000000-0005-0000-0000-0000E7000000}"/>
    <cellStyle name="60% - Accent1" xfId="233" builtinId="32" customBuiltin="1"/>
    <cellStyle name="60% - Accent2" xfId="234" builtinId="36" customBuiltin="1"/>
    <cellStyle name="60% - Accent3" xfId="235" builtinId="40" customBuiltin="1"/>
    <cellStyle name="60% - Accent4" xfId="236" builtinId="44" customBuiltin="1"/>
    <cellStyle name="60% - Accent5" xfId="237" builtinId="48" customBuiltin="1"/>
    <cellStyle name="60% - Accent6" xfId="238" builtinId="52" customBuiltin="1"/>
    <cellStyle name="_x0001_Å»_x001e_´ " xfId="239" xr:uid="{00000000-0005-0000-0000-0000EE000000}"/>
    <cellStyle name="_x0001_Å»_x001e_´_" xfId="240" xr:uid="{00000000-0005-0000-0000-0000EF000000}"/>
    <cellStyle name="Accent1" xfId="241" builtinId="29" customBuiltin="1"/>
    <cellStyle name="Accent2" xfId="242" builtinId="33" customBuiltin="1"/>
    <cellStyle name="Accent3" xfId="243" builtinId="37" customBuiltin="1"/>
    <cellStyle name="Accent4" xfId="244" builtinId="41" customBuiltin="1"/>
    <cellStyle name="Accent5" xfId="245" builtinId="45" customBuiltin="1"/>
    <cellStyle name="Accent6" xfId="246" builtinId="49" customBuiltin="1"/>
    <cellStyle name="ÅëÈ­ [0]_      " xfId="247" xr:uid="{00000000-0005-0000-0000-0000F6000000}"/>
    <cellStyle name="AeE­ [0]_INQUIRY ¿?¾÷AßAø " xfId="248" xr:uid="{00000000-0005-0000-0000-0000F7000000}"/>
    <cellStyle name="ÅëÈ­ [0]_S" xfId="249" xr:uid="{00000000-0005-0000-0000-0000F8000000}"/>
    <cellStyle name="ÅëÈ­_      " xfId="250" xr:uid="{00000000-0005-0000-0000-0000F9000000}"/>
    <cellStyle name="AeE­_INQUIRY ¿?¾÷AßAø " xfId="251" xr:uid="{00000000-0005-0000-0000-0000FA000000}"/>
    <cellStyle name="ÅëÈ­_L601CPT" xfId="252" xr:uid="{00000000-0005-0000-0000-0000FB000000}"/>
    <cellStyle name="args.style" xfId="253" xr:uid="{00000000-0005-0000-0000-0000FC000000}"/>
    <cellStyle name="ÄÞ¸¶ [0]_      " xfId="254" xr:uid="{00000000-0005-0000-0000-0000FD000000}"/>
    <cellStyle name="AÞ¸¶ [0]_INQUIRY ¿?¾÷AßAø " xfId="255" xr:uid="{00000000-0005-0000-0000-0000FE000000}"/>
    <cellStyle name="ÄÞ¸¶ [0]_L601CPT" xfId="256" xr:uid="{00000000-0005-0000-0000-0000FF000000}"/>
    <cellStyle name="ÄÞ¸¶_      " xfId="257" xr:uid="{00000000-0005-0000-0000-000000010000}"/>
    <cellStyle name="AÞ¸¶_INQUIRY ¿?¾÷AßAø " xfId="258" xr:uid="{00000000-0005-0000-0000-000001010000}"/>
    <cellStyle name="ÄÞ¸¶_L601CPT" xfId="259" xr:uid="{00000000-0005-0000-0000-000002010000}"/>
    <cellStyle name="AutoFormat Options" xfId="260" xr:uid="{00000000-0005-0000-0000-000003010000}"/>
    <cellStyle name="AutoFormat-Optionen" xfId="261" xr:uid="{00000000-0005-0000-0000-000004010000}"/>
    <cellStyle name="AutoFormat-Optionen 2" xfId="262" xr:uid="{00000000-0005-0000-0000-000005010000}"/>
    <cellStyle name="AutoFormat-Optionen 2 2" xfId="263" xr:uid="{00000000-0005-0000-0000-000006010000}"/>
    <cellStyle name="AutoFormat-Optionen 3" xfId="264" xr:uid="{00000000-0005-0000-0000-000007010000}"/>
    <cellStyle name="Body" xfId="265" xr:uid="{00000000-0005-0000-0000-000008010000}"/>
    <cellStyle name="C?AØ_¿?¾÷CoE² " xfId="266" xr:uid="{00000000-0005-0000-0000-000009010000}"/>
    <cellStyle name="Ç¥ÁØ_      " xfId="267" xr:uid="{00000000-0005-0000-0000-00000A010000}"/>
    <cellStyle name="C￥AØ_¿μ¾÷CoE² " xfId="268" xr:uid="{00000000-0005-0000-0000-00000B010000}"/>
    <cellStyle name="Ç¥ÁØ_MARSHALL TEST" xfId="269" xr:uid="{00000000-0005-0000-0000-00000C010000}"/>
    <cellStyle name="C￥AØ_Sheet1_¿μ¾÷CoE² " xfId="270" xr:uid="{00000000-0005-0000-0000-00000D010000}"/>
    <cellStyle name="Calc Currency (0)" xfId="271" xr:uid="{00000000-0005-0000-0000-00000E010000}"/>
    <cellStyle name="Calc Currency (2)" xfId="272" xr:uid="{00000000-0005-0000-0000-00000F010000}"/>
    <cellStyle name="Calc Percent (0)" xfId="273" xr:uid="{00000000-0005-0000-0000-000010010000}"/>
    <cellStyle name="Calc Percent (1)" xfId="274" xr:uid="{00000000-0005-0000-0000-000011010000}"/>
    <cellStyle name="Calc Percent (2)" xfId="275" xr:uid="{00000000-0005-0000-0000-000012010000}"/>
    <cellStyle name="Calc Units (0)" xfId="276" xr:uid="{00000000-0005-0000-0000-000013010000}"/>
    <cellStyle name="Calc Units (1)" xfId="277" xr:uid="{00000000-0005-0000-0000-000014010000}"/>
    <cellStyle name="Calc Units (2)" xfId="278" xr:uid="{00000000-0005-0000-0000-000015010000}"/>
    <cellStyle name="category" xfId="279" xr:uid="{00000000-0005-0000-0000-000016010000}"/>
    <cellStyle name="Cerrency_Sheet2_XANGDAU" xfId="280" xr:uid="{00000000-0005-0000-0000-000017010000}"/>
    <cellStyle name="Comma" xfId="281" builtinId="3"/>
    <cellStyle name="Comma  - Style1" xfId="282" xr:uid="{00000000-0005-0000-0000-000019010000}"/>
    <cellStyle name="Comma  - Style2" xfId="283" xr:uid="{00000000-0005-0000-0000-00001A010000}"/>
    <cellStyle name="Comma  - Style3" xfId="284" xr:uid="{00000000-0005-0000-0000-00001B010000}"/>
    <cellStyle name="Comma  - Style4" xfId="285" xr:uid="{00000000-0005-0000-0000-00001C010000}"/>
    <cellStyle name="Comma  - Style5" xfId="286" xr:uid="{00000000-0005-0000-0000-00001D010000}"/>
    <cellStyle name="Comma  - Style6" xfId="287" xr:uid="{00000000-0005-0000-0000-00001E010000}"/>
    <cellStyle name="Comma  - Style7" xfId="288" xr:uid="{00000000-0005-0000-0000-00001F010000}"/>
    <cellStyle name="Comma  - Style8" xfId="289" xr:uid="{00000000-0005-0000-0000-000020010000}"/>
    <cellStyle name="Comma [0] 2" xfId="290" xr:uid="{00000000-0005-0000-0000-000021010000}"/>
    <cellStyle name="Comma [00]" xfId="291" xr:uid="{00000000-0005-0000-0000-000022010000}"/>
    <cellStyle name="Comma 10" xfId="547" xr:uid="{6F0DB5D8-FE77-443C-B885-61FCEA09388C}"/>
    <cellStyle name="Comma 10 2" xfId="292" xr:uid="{00000000-0005-0000-0000-000023010000}"/>
    <cellStyle name="Comma 10 2 2" xfId="293" xr:uid="{00000000-0005-0000-0000-000024010000}"/>
    <cellStyle name="Comma 10 3" xfId="294" xr:uid="{00000000-0005-0000-0000-000025010000}"/>
    <cellStyle name="Comma 11" xfId="557" xr:uid="{3B8B0253-D530-4C21-87FD-FB68601D0180}"/>
    <cellStyle name="Comma 12" xfId="295" xr:uid="{00000000-0005-0000-0000-000026010000}"/>
    <cellStyle name="Comma 14" xfId="296" xr:uid="{00000000-0005-0000-0000-000027010000}"/>
    <cellStyle name="Comma 14 3" xfId="297" xr:uid="{00000000-0005-0000-0000-000028010000}"/>
    <cellStyle name="Comma 2" xfId="298" xr:uid="{00000000-0005-0000-0000-000029010000}"/>
    <cellStyle name="Comma 2 2" xfId="299" xr:uid="{00000000-0005-0000-0000-00002A010000}"/>
    <cellStyle name="Comma 2 2 2" xfId="553" xr:uid="{3AA3C8DF-0CDB-4A4D-906E-6E9EA4598D6F}"/>
    <cellStyle name="Comma 2 3" xfId="300" xr:uid="{00000000-0005-0000-0000-00002B010000}"/>
    <cellStyle name="Comma 2 4" xfId="544" xr:uid="{78C65F66-C1A3-447E-A71D-7A75D03D41A1}"/>
    <cellStyle name="Comma 2_BÁO CÁO QUYẾT TOÁN 2017 nhập chi tiết các ngành đúng" xfId="301" xr:uid="{00000000-0005-0000-0000-00002C010000}"/>
    <cellStyle name="Comma 22 2 2 2 2" xfId="558" xr:uid="{6E84AA85-733E-420C-8F3B-E728400E3814}"/>
    <cellStyle name="Comma 3" xfId="302" xr:uid="{00000000-0005-0000-0000-00002D010000}"/>
    <cellStyle name="Comma 3 2" xfId="303" xr:uid="{00000000-0005-0000-0000-00002E010000}"/>
    <cellStyle name="Comma 3 3" xfId="304" xr:uid="{00000000-0005-0000-0000-00002F010000}"/>
    <cellStyle name="Comma 3 4" xfId="545" xr:uid="{7282731E-D541-44DE-8211-52D55E9600EB}"/>
    <cellStyle name="Comma 4" xfId="305" xr:uid="{00000000-0005-0000-0000-000030010000}"/>
    <cellStyle name="Comma 5" xfId="306" xr:uid="{00000000-0005-0000-0000-000031010000}"/>
    <cellStyle name="Comma 5 2" xfId="307" xr:uid="{00000000-0005-0000-0000-000032010000}"/>
    <cellStyle name="Comma 6" xfId="308" xr:uid="{00000000-0005-0000-0000-000033010000}"/>
    <cellStyle name="Comma 7" xfId="309" xr:uid="{00000000-0005-0000-0000-000034010000}"/>
    <cellStyle name="Comma 7 2" xfId="548" xr:uid="{DFD46C84-3319-48C5-B257-8334FB4E94D8}"/>
    <cellStyle name="Comma 8" xfId="310" xr:uid="{00000000-0005-0000-0000-000035010000}"/>
    <cellStyle name="Comma 9" xfId="556" xr:uid="{256DD158-50BA-47B7-9266-E373D71D6D67}"/>
    <cellStyle name="comma zerodec" xfId="311" xr:uid="{00000000-0005-0000-0000-000036010000}"/>
    <cellStyle name="Comma0" xfId="312" xr:uid="{00000000-0005-0000-0000-000037010000}"/>
    <cellStyle name="Copied" xfId="313" xr:uid="{00000000-0005-0000-0000-000038010000}"/>
    <cellStyle name="Cࡵrrency_Sheet1_PRODUCTĠ" xfId="314" xr:uid="{00000000-0005-0000-0000-000039010000}"/>
    <cellStyle name="_x0001_CS_x0006_RMO[" xfId="315" xr:uid="{00000000-0005-0000-0000-00003A010000}"/>
    <cellStyle name="_x0001_CS_x0006_RMO_" xfId="316" xr:uid="{00000000-0005-0000-0000-00003B010000}"/>
    <cellStyle name="Currency [00]" xfId="317" xr:uid="{00000000-0005-0000-0000-00003C010000}"/>
    <cellStyle name="Currency 2" xfId="318" xr:uid="{00000000-0005-0000-0000-00003D010000}"/>
    <cellStyle name="Currency0" xfId="319" xr:uid="{00000000-0005-0000-0000-00003E010000}"/>
    <cellStyle name="Currency1" xfId="320" xr:uid="{00000000-0005-0000-0000-00003F010000}"/>
    <cellStyle name="D1" xfId="321" xr:uid="{00000000-0005-0000-0000-000040010000}"/>
    <cellStyle name="Date" xfId="322" xr:uid="{00000000-0005-0000-0000-000041010000}"/>
    <cellStyle name="Date Short" xfId="323" xr:uid="{00000000-0005-0000-0000-000042010000}"/>
    <cellStyle name="Date_Book1" xfId="324" xr:uid="{00000000-0005-0000-0000-000043010000}"/>
    <cellStyle name="Dezimal [0]_NEGS" xfId="325" xr:uid="{00000000-0005-0000-0000-000044010000}"/>
    <cellStyle name="Dezimal_NEGS" xfId="326" xr:uid="{00000000-0005-0000-0000-000045010000}"/>
    <cellStyle name="_x0001_dÏÈ¹ " xfId="327" xr:uid="{00000000-0005-0000-0000-000046010000}"/>
    <cellStyle name="_x0001_dÏÈ¹_" xfId="328" xr:uid="{00000000-0005-0000-0000-000047010000}"/>
    <cellStyle name="Dollar (zero dec)" xfId="329" xr:uid="{00000000-0005-0000-0000-000048010000}"/>
    <cellStyle name="e" xfId="330" xr:uid="{00000000-0005-0000-0000-000049010000}"/>
    <cellStyle name="Enter Currency (0)" xfId="331" xr:uid="{00000000-0005-0000-0000-00004A010000}"/>
    <cellStyle name="Enter Currency (2)" xfId="332" xr:uid="{00000000-0005-0000-0000-00004B010000}"/>
    <cellStyle name="Enter Units (0)" xfId="333" xr:uid="{00000000-0005-0000-0000-00004C010000}"/>
    <cellStyle name="Enter Units (1)" xfId="334" xr:uid="{00000000-0005-0000-0000-00004D010000}"/>
    <cellStyle name="Enter Units (2)" xfId="335" xr:uid="{00000000-0005-0000-0000-00004E010000}"/>
    <cellStyle name="Entered" xfId="336" xr:uid="{00000000-0005-0000-0000-00004F010000}"/>
    <cellStyle name="f" xfId="337" xr:uid="{00000000-0005-0000-0000-000050010000}"/>
    <cellStyle name="Fixed" xfId="338" xr:uid="{00000000-0005-0000-0000-000051010000}"/>
    <cellStyle name="Grey" xfId="339" xr:uid="{00000000-0005-0000-0000-000052010000}"/>
    <cellStyle name="ha" xfId="340" xr:uid="{00000000-0005-0000-0000-000053010000}"/>
    <cellStyle name="Head 1" xfId="341" xr:uid="{00000000-0005-0000-0000-000054010000}"/>
    <cellStyle name="HEADER_Book1" xfId="342" xr:uid="{00000000-0005-0000-0000-000055010000}"/>
    <cellStyle name="Header1" xfId="343" xr:uid="{00000000-0005-0000-0000-000056010000}"/>
    <cellStyle name="Header2" xfId="344" xr:uid="{00000000-0005-0000-0000-000057010000}"/>
    <cellStyle name="Heading 1 2" xfId="345" xr:uid="{00000000-0005-0000-0000-000058010000}"/>
    <cellStyle name="Heading 2 2" xfId="346" xr:uid="{00000000-0005-0000-0000-000059010000}"/>
    <cellStyle name="HEADING1" xfId="347" xr:uid="{00000000-0005-0000-0000-00005A010000}"/>
    <cellStyle name="HEADING2" xfId="348" xr:uid="{00000000-0005-0000-0000-00005B010000}"/>
    <cellStyle name="HEADINGS" xfId="349" xr:uid="{00000000-0005-0000-0000-00005C010000}"/>
    <cellStyle name="HEADINGSTOP" xfId="350" xr:uid="{00000000-0005-0000-0000-00005D010000}"/>
    <cellStyle name="Hoa-Scholl" xfId="351" xr:uid="{00000000-0005-0000-0000-00005E010000}"/>
    <cellStyle name="i·0" xfId="352" xr:uid="{00000000-0005-0000-0000-00005F010000}"/>
    <cellStyle name="_x0001_í½?" xfId="353" xr:uid="{00000000-0005-0000-0000-000060010000}"/>
    <cellStyle name="_x0001_íå_x001b_ô " xfId="354" xr:uid="{00000000-0005-0000-0000-000061010000}"/>
    <cellStyle name="_x0001_íå_x001b_ô_" xfId="355" xr:uid="{00000000-0005-0000-0000-000062010000}"/>
    <cellStyle name="Input [yellow]" xfId="356" xr:uid="{00000000-0005-0000-0000-000063010000}"/>
    <cellStyle name="Input 2" xfId="357" xr:uid="{00000000-0005-0000-0000-000064010000}"/>
    <cellStyle name="Link Currency (0)" xfId="358" xr:uid="{00000000-0005-0000-0000-000065010000}"/>
    <cellStyle name="Link Currency (2)" xfId="359" xr:uid="{00000000-0005-0000-0000-000066010000}"/>
    <cellStyle name="Link Units (0)" xfId="360" xr:uid="{00000000-0005-0000-0000-000067010000}"/>
    <cellStyle name="Link Units (1)" xfId="361" xr:uid="{00000000-0005-0000-0000-000068010000}"/>
    <cellStyle name="Link Units (2)" xfId="362" xr:uid="{00000000-0005-0000-0000-000069010000}"/>
    <cellStyle name="Millares [0]_Well Timing" xfId="363" xr:uid="{00000000-0005-0000-0000-00006A010000}"/>
    <cellStyle name="Millares_Well Timing" xfId="364" xr:uid="{00000000-0005-0000-0000-00006B010000}"/>
    <cellStyle name="Milliers [0]_AR1194" xfId="365" xr:uid="{00000000-0005-0000-0000-00006C010000}"/>
    <cellStyle name="Milliers_AR1194" xfId="366" xr:uid="{00000000-0005-0000-0000-00006D010000}"/>
    <cellStyle name="Model" xfId="367" xr:uid="{00000000-0005-0000-0000-00006E010000}"/>
    <cellStyle name="moi" xfId="368" xr:uid="{00000000-0005-0000-0000-00006F010000}"/>
    <cellStyle name="Moneda [0]_Well Timing" xfId="369" xr:uid="{00000000-0005-0000-0000-000070010000}"/>
    <cellStyle name="Moneda_Well Timing" xfId="370" xr:uid="{00000000-0005-0000-0000-000071010000}"/>
    <cellStyle name="Monétaire [0]_AR1194" xfId="371" xr:uid="{00000000-0005-0000-0000-000072010000}"/>
    <cellStyle name="Monétaire_AR1194" xfId="372" xr:uid="{00000000-0005-0000-0000-000073010000}"/>
    <cellStyle name="n" xfId="373" xr:uid="{00000000-0005-0000-0000-000074010000}"/>
    <cellStyle name="New" xfId="374" xr:uid="{00000000-0005-0000-0000-000075010000}"/>
    <cellStyle name="New Times Roman" xfId="375" xr:uid="{00000000-0005-0000-0000-000076010000}"/>
    <cellStyle name="New_quyet toan 2018" xfId="376" xr:uid="{00000000-0005-0000-0000-000077010000}"/>
    <cellStyle name="no dec" xfId="377" xr:uid="{00000000-0005-0000-0000-000078010000}"/>
    <cellStyle name="Normal" xfId="0" builtinId="0"/>
    <cellStyle name="Normal - Style1" xfId="378" xr:uid="{00000000-0005-0000-0000-00007A010000}"/>
    <cellStyle name="Normal - Style1 2 10" xfId="379" xr:uid="{00000000-0005-0000-0000-00007B010000}"/>
    <cellStyle name="Normal - 유형1" xfId="380" xr:uid="{00000000-0005-0000-0000-00007C010000}"/>
    <cellStyle name="Normal 10" xfId="381" xr:uid="{00000000-0005-0000-0000-00007D010000}"/>
    <cellStyle name="Normal 10 2 4" xfId="382" xr:uid="{00000000-0005-0000-0000-00007E010000}"/>
    <cellStyle name="Normal 10 3" xfId="383" xr:uid="{00000000-0005-0000-0000-00007F010000}"/>
    <cellStyle name="Normal 11" xfId="384" xr:uid="{00000000-0005-0000-0000-000080010000}"/>
    <cellStyle name="Normal 11 2" xfId="385" xr:uid="{00000000-0005-0000-0000-000081010000}"/>
    <cellStyle name="Normal 11 3" xfId="541" xr:uid="{730EBCF9-BD5B-4453-B081-807517C33610}"/>
    <cellStyle name="Normal 12" xfId="386" xr:uid="{00000000-0005-0000-0000-000082010000}"/>
    <cellStyle name="Normal 12 2" xfId="387" xr:uid="{00000000-0005-0000-0000-000083010000}"/>
    <cellStyle name="Normal 12 3" xfId="542" xr:uid="{20D3ECBF-79F1-4F2E-A81D-A38EC4780E2C}"/>
    <cellStyle name="Normal 13" xfId="388" xr:uid="{00000000-0005-0000-0000-000084010000}"/>
    <cellStyle name="Normal 14" xfId="389" xr:uid="{00000000-0005-0000-0000-000085010000}"/>
    <cellStyle name="Normal 14 2" xfId="390" xr:uid="{00000000-0005-0000-0000-000086010000}"/>
    <cellStyle name="Normal 15" xfId="391" xr:uid="{00000000-0005-0000-0000-000087010000}"/>
    <cellStyle name="Normal 16" xfId="537" xr:uid="{E13B462B-07E6-4F41-9275-29D16D5C600C}"/>
    <cellStyle name="Normal 17" xfId="554" xr:uid="{8C18540C-8AE0-4516-860E-099AB3FB0C6E}"/>
    <cellStyle name="Normal 2" xfId="392" xr:uid="{00000000-0005-0000-0000-000088010000}"/>
    <cellStyle name="Normal 2 2" xfId="393" xr:uid="{00000000-0005-0000-0000-000089010000}"/>
    <cellStyle name="Normal 2 2 2" xfId="550" xr:uid="{9666B2E1-5675-4D72-A93E-947EA48826EC}"/>
    <cellStyle name="Normal 2 2 3" xfId="540" xr:uid="{26ECAA80-12EF-406B-97DC-ADE79090AC94}"/>
    <cellStyle name="Normal 2 2 4" xfId="394" xr:uid="{00000000-0005-0000-0000-00008A010000}"/>
    <cellStyle name="Normal 2 3" xfId="395" xr:uid="{00000000-0005-0000-0000-00008B010000}"/>
    <cellStyle name="Normal 2 3 2" xfId="543" xr:uid="{C4A808F2-81D7-4E1F-AD14-AE216BF173CC}"/>
    <cellStyle name="Normal 2 4" xfId="396" xr:uid="{00000000-0005-0000-0000-00008C010000}"/>
    <cellStyle name="Normal 2 4 2" xfId="549" xr:uid="{D44D8F8F-2597-4BEA-9CEF-7D6FD0EEB72C}"/>
    <cellStyle name="Normal 2 5" xfId="539" xr:uid="{DC5ACEC7-C16B-44D5-8A3F-4749966D489D}"/>
    <cellStyle name="Normal 2 6" xfId="397" xr:uid="{00000000-0005-0000-0000-00008D010000}"/>
    <cellStyle name="Normal 2 6 2" xfId="398" xr:uid="{00000000-0005-0000-0000-00008E010000}"/>
    <cellStyle name="Normal 2_BC nhu cầu lương tăng thêm theo NĐ 47-2017 (phòng làm gửi STC)" xfId="399" xr:uid="{00000000-0005-0000-0000-00008F010000}"/>
    <cellStyle name="Normal 3" xfId="400" xr:uid="{00000000-0005-0000-0000-000090010000}"/>
    <cellStyle name="Normal 3 2" xfId="401" xr:uid="{00000000-0005-0000-0000-000091010000}"/>
    <cellStyle name="Normal 3 2 2" xfId="546" xr:uid="{CCA247A2-DEBD-40F3-8577-6FBDF2D91B5B}"/>
    <cellStyle name="Normal 3 3" xfId="551" xr:uid="{785334C1-E306-4613-8579-0BBAA721D35E}"/>
    <cellStyle name="Normal 3 4" xfId="402" xr:uid="{00000000-0005-0000-0000-000092010000}"/>
    <cellStyle name="Normal 3 5" xfId="538" xr:uid="{F0D89931-9ACF-4900-BB85-8358657D8E86}"/>
    <cellStyle name="Normal 3_17 bieu (hung cap nhap)" xfId="403" xr:uid="{00000000-0005-0000-0000-000093010000}"/>
    <cellStyle name="Normal 4" xfId="404" xr:uid="{00000000-0005-0000-0000-000094010000}"/>
    <cellStyle name="Normal 4 2" xfId="405" xr:uid="{00000000-0005-0000-0000-000095010000}"/>
    <cellStyle name="Normal 5" xfId="406" xr:uid="{00000000-0005-0000-0000-000096010000}"/>
    <cellStyle name="Normal 5 3" xfId="407" xr:uid="{00000000-0005-0000-0000-000097010000}"/>
    <cellStyle name="Normal 6" xfId="408" xr:uid="{00000000-0005-0000-0000-000098010000}"/>
    <cellStyle name="Normal 6 2" xfId="555" xr:uid="{DE0CD36E-48A4-404A-A723-3A88E4CFEB34}"/>
    <cellStyle name="Normal 6 6" xfId="409" xr:uid="{00000000-0005-0000-0000-000099010000}"/>
    <cellStyle name="Normal 7" xfId="410" xr:uid="{00000000-0005-0000-0000-00009A010000}"/>
    <cellStyle name="Normal 7 2" xfId="552" xr:uid="{B0AE32AE-612D-482D-9E6D-E81845C553FC}"/>
    <cellStyle name="Normal 8" xfId="411" xr:uid="{00000000-0005-0000-0000-00009B010000}"/>
    <cellStyle name="Normal 9" xfId="412" xr:uid="{00000000-0005-0000-0000-00009C010000}"/>
    <cellStyle name="Normal_17 bieu (hung cap nhap)" xfId="413" xr:uid="{00000000-0005-0000-0000-00009D010000}"/>
    <cellStyle name="Normal_Bieu DT 2008 (HDND)" xfId="414" xr:uid="{00000000-0005-0000-0000-00009E010000}"/>
    <cellStyle name="Normal_Bieu DT 2009 (HDND)" xfId="415" xr:uid="{00000000-0005-0000-0000-00009F010000}"/>
    <cellStyle name="Normal_Bieu mau (CV )" xfId="416" xr:uid="{00000000-0005-0000-0000-0000A0010000}"/>
    <cellStyle name="Normal_bieu mau 2012 (cap nhap)" xfId="417" xr:uid="{00000000-0005-0000-0000-0000A1010000}"/>
    <cellStyle name="Normal_Bieu XDKH 2010- Dia phuong (hung)" xfId="418" xr:uid="{00000000-0005-0000-0000-0000A2010000}"/>
    <cellStyle name="Normal_chi tieu phat trien 2004" xfId="419" xr:uid="{00000000-0005-0000-0000-0000A3010000}"/>
    <cellStyle name="Normal_DS 2" xfId="420" xr:uid="{00000000-0005-0000-0000-0000A4010000}"/>
    <cellStyle name="Normal_Sheet6" xfId="421" xr:uid="{00000000-0005-0000-0000-0000A5010000}"/>
    <cellStyle name="Normal_UOC KQ 2014" xfId="422" xr:uid="{00000000-0005-0000-0000-0000A6010000}"/>
    <cellStyle name="Normal1" xfId="423" xr:uid="{00000000-0005-0000-0000-0000A7010000}"/>
    <cellStyle name="Note 2" xfId="424" xr:uid="{00000000-0005-0000-0000-0000A8010000}"/>
    <cellStyle name="Œ…‹æØ‚è [0.00]_laroux" xfId="425" xr:uid="{00000000-0005-0000-0000-0000A9010000}"/>
    <cellStyle name="Œ…‹æØ‚è_laroux" xfId="426" xr:uid="{00000000-0005-0000-0000-0000AA010000}"/>
    <cellStyle name="oft Excel]_x000d__x000a_Comment=open=/f ‚ðw’è‚·‚é‚ÆAƒ†[ƒU[’è‹`ŠÖ”‚ðŠÖ”“\‚è•t‚¯‚Ìˆê——‚É“o˜^‚·‚é‚±‚Æ‚ª‚Å‚«‚Ü‚·B_x000d__x000a_Maximized" xfId="427" xr:uid="{00000000-0005-0000-0000-0000AB010000}"/>
    <cellStyle name="oft Excel]_x000d__x000a_Comment=The open=/f lines load custom functions into the Paste Function list._x000d__x000a_Maximized=2_x000d__x000a_Basics=1_x000d__x000a_A" xfId="428" xr:uid="{00000000-0005-0000-0000-0000AC010000}"/>
    <cellStyle name="oft Excel]_x000d__x000a_Comment=The open=/f lines load custom functions into the Paste Function list._x000d__x000a_Maximized=3_x000d__x000a_Basics=1_x000d__x000a_A" xfId="429" xr:uid="{00000000-0005-0000-0000-0000AD010000}"/>
    <cellStyle name="per.style" xfId="430" xr:uid="{00000000-0005-0000-0000-0000AE010000}"/>
    <cellStyle name="Percent [0]" xfId="431" xr:uid="{00000000-0005-0000-0000-0000AF010000}"/>
    <cellStyle name="Percent [00]" xfId="432" xr:uid="{00000000-0005-0000-0000-0000B0010000}"/>
    <cellStyle name="Percent [2]" xfId="433" xr:uid="{00000000-0005-0000-0000-0000B1010000}"/>
    <cellStyle name="Percent 2" xfId="434" xr:uid="{00000000-0005-0000-0000-0000B2010000}"/>
    <cellStyle name="Percent 3" xfId="435" xr:uid="{00000000-0005-0000-0000-0000B3010000}"/>
    <cellStyle name="PERCENTAGE" xfId="436" xr:uid="{00000000-0005-0000-0000-0000B4010000}"/>
    <cellStyle name="PrePop Currency (0)" xfId="437" xr:uid="{00000000-0005-0000-0000-0000B5010000}"/>
    <cellStyle name="PrePop Currency (2)" xfId="438" xr:uid="{00000000-0005-0000-0000-0000B6010000}"/>
    <cellStyle name="PrePop Units (0)" xfId="439" xr:uid="{00000000-0005-0000-0000-0000B7010000}"/>
    <cellStyle name="PrePop Units (1)" xfId="440" xr:uid="{00000000-0005-0000-0000-0000B8010000}"/>
    <cellStyle name="PrePop Units (2)" xfId="441" xr:uid="{00000000-0005-0000-0000-0000B9010000}"/>
    <cellStyle name="pricing" xfId="442" xr:uid="{00000000-0005-0000-0000-0000BA010000}"/>
    <cellStyle name="PSChar" xfId="443" xr:uid="{00000000-0005-0000-0000-0000BB010000}"/>
    <cellStyle name="PSHeading" xfId="444" xr:uid="{00000000-0005-0000-0000-0000BC010000}"/>
    <cellStyle name="regstoresfromspecstores" xfId="445" xr:uid="{00000000-0005-0000-0000-0000BD010000}"/>
    <cellStyle name="RevList" xfId="446" xr:uid="{00000000-0005-0000-0000-0000BE010000}"/>
    <cellStyle name="S—_x0008_" xfId="447" xr:uid="{00000000-0005-0000-0000-0000BF010000}"/>
    <cellStyle name="s]_x000d__x000a_spooler=yes_x000d__x000a_load=_x000d__x000a_Beep=yes_x000d__x000a_NullPort=None_x000d__x000a_BorderWidth=3_x000d__x000a_CursorBlinkRate=1200_x000d__x000a_DoubleClickSpeed=452_x000d__x000a_Programs=co" xfId="448" xr:uid="{00000000-0005-0000-0000-0000C0010000}"/>
    <cellStyle name="_x0001_sç?" xfId="449" xr:uid="{00000000-0005-0000-0000-0000C1010000}"/>
    <cellStyle name="serJet 1200 Series PCL 6" xfId="450" xr:uid="{00000000-0005-0000-0000-0000C2010000}"/>
    <cellStyle name="SHADEDSTORES" xfId="451" xr:uid="{00000000-0005-0000-0000-0000C3010000}"/>
    <cellStyle name="specstores" xfId="452" xr:uid="{00000000-0005-0000-0000-0000C4010000}"/>
    <cellStyle name="Standard_NEGS" xfId="453" xr:uid="{00000000-0005-0000-0000-0000C5010000}"/>
    <cellStyle name="Style 1" xfId="454" xr:uid="{00000000-0005-0000-0000-0000C6010000}"/>
    <cellStyle name="Style 10" xfId="455" xr:uid="{00000000-0005-0000-0000-0000C7010000}"/>
    <cellStyle name="Style 11" xfId="456" xr:uid="{00000000-0005-0000-0000-0000C8010000}"/>
    <cellStyle name="Style 12" xfId="457" xr:uid="{00000000-0005-0000-0000-0000C9010000}"/>
    <cellStyle name="Style 13" xfId="458" xr:uid="{00000000-0005-0000-0000-0000CA010000}"/>
    <cellStyle name="Style 14" xfId="459" xr:uid="{00000000-0005-0000-0000-0000CB010000}"/>
    <cellStyle name="Style 15" xfId="460" xr:uid="{00000000-0005-0000-0000-0000CC010000}"/>
    <cellStyle name="Style 16" xfId="461" xr:uid="{00000000-0005-0000-0000-0000CD010000}"/>
    <cellStyle name="Style 17" xfId="462" xr:uid="{00000000-0005-0000-0000-0000CE010000}"/>
    <cellStyle name="Style 18" xfId="463" xr:uid="{00000000-0005-0000-0000-0000CF010000}"/>
    <cellStyle name="Style 19" xfId="464" xr:uid="{00000000-0005-0000-0000-0000D0010000}"/>
    <cellStyle name="Style 2" xfId="465" xr:uid="{00000000-0005-0000-0000-0000D1010000}"/>
    <cellStyle name="Style 20" xfId="466" xr:uid="{00000000-0005-0000-0000-0000D2010000}"/>
    <cellStyle name="Style 21" xfId="467" xr:uid="{00000000-0005-0000-0000-0000D3010000}"/>
    <cellStyle name="Style 22" xfId="468" xr:uid="{00000000-0005-0000-0000-0000D4010000}"/>
    <cellStyle name="Style 23" xfId="469" xr:uid="{00000000-0005-0000-0000-0000D5010000}"/>
    <cellStyle name="Style 24" xfId="470" xr:uid="{00000000-0005-0000-0000-0000D6010000}"/>
    <cellStyle name="Style 25" xfId="471" xr:uid="{00000000-0005-0000-0000-0000D7010000}"/>
    <cellStyle name="Style 26" xfId="472" xr:uid="{00000000-0005-0000-0000-0000D8010000}"/>
    <cellStyle name="Style 27" xfId="473" xr:uid="{00000000-0005-0000-0000-0000D9010000}"/>
    <cellStyle name="Style 28" xfId="474" xr:uid="{00000000-0005-0000-0000-0000DA010000}"/>
    <cellStyle name="Style 3" xfId="475" xr:uid="{00000000-0005-0000-0000-0000DB010000}"/>
    <cellStyle name="Style 4" xfId="476" xr:uid="{00000000-0005-0000-0000-0000DC010000}"/>
    <cellStyle name="Style 5" xfId="477" xr:uid="{00000000-0005-0000-0000-0000DD010000}"/>
    <cellStyle name="Style 6" xfId="478" xr:uid="{00000000-0005-0000-0000-0000DE010000}"/>
    <cellStyle name="Style 7" xfId="479" xr:uid="{00000000-0005-0000-0000-0000DF010000}"/>
    <cellStyle name="Style 8" xfId="480" xr:uid="{00000000-0005-0000-0000-0000E0010000}"/>
    <cellStyle name="Style 9" xfId="481" xr:uid="{00000000-0005-0000-0000-0000E1010000}"/>
    <cellStyle name="subhead" xfId="482" xr:uid="{00000000-0005-0000-0000-0000E2010000}"/>
    <cellStyle name="Subtotal" xfId="483" xr:uid="{00000000-0005-0000-0000-0000E3010000}"/>
    <cellStyle name="T" xfId="484" xr:uid="{00000000-0005-0000-0000-0000E4010000}"/>
    <cellStyle name="T_Book1" xfId="485" xr:uid="{00000000-0005-0000-0000-0000E5010000}"/>
    <cellStyle name="T_Book1_1" xfId="486" xr:uid="{00000000-0005-0000-0000-0000E6010000}"/>
    <cellStyle name="T_Book1_Book1" xfId="487" xr:uid="{00000000-0005-0000-0000-0000E7010000}"/>
    <cellStyle name="T_denbu" xfId="488" xr:uid="{00000000-0005-0000-0000-0000E8010000}"/>
    <cellStyle name="Text Indent A" xfId="489" xr:uid="{00000000-0005-0000-0000-0000E9010000}"/>
    <cellStyle name="Text Indent B" xfId="490" xr:uid="{00000000-0005-0000-0000-0000EA010000}"/>
    <cellStyle name="Text Indent C" xfId="491" xr:uid="{00000000-0005-0000-0000-0000EB010000}"/>
    <cellStyle name="Total 2" xfId="497" xr:uid="{00000000-0005-0000-0000-0000F1010000}"/>
    <cellStyle name="th" xfId="492" xr:uid="{00000000-0005-0000-0000-0000EC010000}"/>
    <cellStyle name="þ_x001d_ð¤_x000c_¯þ_x0014__x000d_¨þU_x0001_À_x0004_ _x0015__x000f__x0001__x0001_" xfId="493" xr:uid="{00000000-0005-0000-0000-0000ED010000}"/>
    <cellStyle name="þ_x001d_ð·_x000c_æþ'_x000d_ßþU_x0001_Ø_x0005_ü_x0014__x0007__x0001__x0001_" xfId="494" xr:uid="{00000000-0005-0000-0000-0000EE010000}"/>
    <cellStyle name="þ_x001d_ðK_x000c_Fý_x001b__x000d_9ýU_x0001_Ð_x0008_¦)_x0007__x0001__x0001_" xfId="495" xr:uid="{00000000-0005-0000-0000-0000EF010000}"/>
    <cellStyle name="Thuyet minh" xfId="496" xr:uid="{00000000-0005-0000-0000-0000F0010000}"/>
    <cellStyle name="viet" xfId="498" xr:uid="{00000000-0005-0000-0000-0000F2010000}"/>
    <cellStyle name="viet2" xfId="499" xr:uid="{00000000-0005-0000-0000-0000F3010000}"/>
    <cellStyle name="vntxt1" xfId="502" xr:uid="{00000000-0005-0000-0000-0000F6010000}"/>
    <cellStyle name="vntxt2" xfId="503" xr:uid="{00000000-0005-0000-0000-0000F7010000}"/>
    <cellStyle name="vnhead1" xfId="500" xr:uid="{00000000-0005-0000-0000-0000F4010000}"/>
    <cellStyle name="vnhead3" xfId="501" xr:uid="{00000000-0005-0000-0000-0000F5010000}"/>
    <cellStyle name="xuan" xfId="504" xr:uid="{00000000-0005-0000-0000-0000F8010000}"/>
    <cellStyle name=" [0.00]_ Att. 1- Cover" xfId="505" xr:uid="{00000000-0005-0000-0000-0000F9010000}"/>
    <cellStyle name="_ Att. 1- Cover" xfId="506" xr:uid="{00000000-0005-0000-0000-0000FA010000}"/>
    <cellStyle name="?_ Att. 1- Cover" xfId="507" xr:uid="{00000000-0005-0000-0000-0000FB010000}"/>
    <cellStyle name="똿뗦먛귟 [0.00]_PRODUCT DETAIL Q1" xfId="508" xr:uid="{00000000-0005-0000-0000-0000FC010000}"/>
    <cellStyle name="똿뗦먛귟_PRODUCT DETAIL Q1" xfId="509" xr:uid="{00000000-0005-0000-0000-0000FD010000}"/>
    <cellStyle name="믅됞 [0.00]_PRODUCT DETAIL Q1" xfId="510" xr:uid="{00000000-0005-0000-0000-0000FE010000}"/>
    <cellStyle name="믅됞_PRODUCT DETAIL Q1" xfId="511" xr:uid="{00000000-0005-0000-0000-0000FF010000}"/>
    <cellStyle name="백분율_95" xfId="512" xr:uid="{00000000-0005-0000-0000-000000020000}"/>
    <cellStyle name="뷭?_BOOKSHIP" xfId="513" xr:uid="{00000000-0005-0000-0000-000001020000}"/>
    <cellStyle name="안건회계법인" xfId="514" xr:uid="{00000000-0005-0000-0000-000002020000}"/>
    <cellStyle name="콤마 [ - 유형1" xfId="515" xr:uid="{00000000-0005-0000-0000-000003020000}"/>
    <cellStyle name="콤마 [ - 유형2" xfId="516" xr:uid="{00000000-0005-0000-0000-000004020000}"/>
    <cellStyle name="콤마 [ - 유형3" xfId="517" xr:uid="{00000000-0005-0000-0000-000005020000}"/>
    <cellStyle name="콤마 [ - 유형4" xfId="518" xr:uid="{00000000-0005-0000-0000-000006020000}"/>
    <cellStyle name="콤마 [ - 유형5" xfId="519" xr:uid="{00000000-0005-0000-0000-000007020000}"/>
    <cellStyle name="콤마 [ - 유형6" xfId="520" xr:uid="{00000000-0005-0000-0000-000008020000}"/>
    <cellStyle name="콤마 [ - 유형7" xfId="521" xr:uid="{00000000-0005-0000-0000-000009020000}"/>
    <cellStyle name="콤마 [ - 유형8" xfId="522" xr:uid="{00000000-0005-0000-0000-00000A020000}"/>
    <cellStyle name="콤마 [0]_#3,4" xfId="523" xr:uid="{00000000-0005-0000-0000-00000B020000}"/>
    <cellStyle name="콤마_#3,4" xfId="524" xr:uid="{00000000-0005-0000-0000-00000C020000}"/>
    <cellStyle name="통화 [0]_1202" xfId="525" xr:uid="{00000000-0005-0000-0000-00000D020000}"/>
    <cellStyle name="통화_1202" xfId="526" xr:uid="{00000000-0005-0000-0000-00000E020000}"/>
    <cellStyle name="표준_(정보부문)월별인원계획" xfId="527" xr:uid="{00000000-0005-0000-0000-00000F020000}"/>
    <cellStyle name="一般_00Q3902REV.1" xfId="528" xr:uid="{00000000-0005-0000-0000-000010020000}"/>
    <cellStyle name="千分位[0]_00Q3902REV.1" xfId="529" xr:uid="{00000000-0005-0000-0000-000011020000}"/>
    <cellStyle name="千分位_00Q3902REV.1" xfId="530" xr:uid="{00000000-0005-0000-0000-000012020000}"/>
    <cellStyle name="桁区切り_工費" xfId="531" xr:uid="{00000000-0005-0000-0000-000013020000}"/>
    <cellStyle name="標準_MARINE" xfId="532" xr:uid="{00000000-0005-0000-0000-000014020000}"/>
    <cellStyle name="貨幣 [0]_00Q3902REV.1" xfId="533" xr:uid="{00000000-0005-0000-0000-000015020000}"/>
    <cellStyle name="貨幣[0]_BRE" xfId="534" xr:uid="{00000000-0005-0000-0000-000016020000}"/>
    <cellStyle name="貨幣_00Q3902REV.1" xfId="535" xr:uid="{00000000-0005-0000-0000-000017020000}"/>
    <cellStyle name="通貨_List-dwgis" xfId="536" xr:uid="{00000000-0005-0000-0000-000018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528638</xdr:colOff>
      <xdr:row>0</xdr:row>
      <xdr:rowOff>300038</xdr:rowOff>
    </xdr:from>
    <xdr:to>
      <xdr:col>0</xdr:col>
      <xdr:colOff>1271588</xdr:colOff>
      <xdr:row>0</xdr:row>
      <xdr:rowOff>300038</xdr:rowOff>
    </xdr:to>
    <xdr:cxnSp macro="">
      <xdr:nvCxnSpPr>
        <xdr:cNvPr id="3" name="Straight Connector 2">
          <a:extLst>
            <a:ext uri="{FF2B5EF4-FFF2-40B4-BE49-F238E27FC236}">
              <a16:creationId xmlns:a16="http://schemas.microsoft.com/office/drawing/2014/main" id="{F4F0775B-7F68-428F-98AA-8F8CD3FD65A9}"/>
            </a:ext>
          </a:extLst>
        </xdr:cNvPr>
        <xdr:cNvCxnSpPr/>
      </xdr:nvCxnSpPr>
      <xdr:spPr>
        <a:xfrm>
          <a:off x="528638" y="300038"/>
          <a:ext cx="7429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1</xdr:row>
      <xdr:rowOff>66675</xdr:rowOff>
    </xdr:from>
    <xdr:to>
      <xdr:col>1</xdr:col>
      <xdr:colOff>1000125</xdr:colOff>
      <xdr:row>1</xdr:row>
      <xdr:rowOff>66675</xdr:rowOff>
    </xdr:to>
    <xdr:cxnSp macro="">
      <xdr:nvCxnSpPr>
        <xdr:cNvPr id="3" name="Straight Connector 2">
          <a:extLst>
            <a:ext uri="{FF2B5EF4-FFF2-40B4-BE49-F238E27FC236}">
              <a16:creationId xmlns:a16="http://schemas.microsoft.com/office/drawing/2014/main" id="{6DAC63DD-A76A-422F-990B-53BFF622C295}"/>
            </a:ext>
          </a:extLst>
        </xdr:cNvPr>
        <xdr:cNvCxnSpPr/>
      </xdr:nvCxnSpPr>
      <xdr:spPr>
        <a:xfrm>
          <a:off x="619125" y="276225"/>
          <a:ext cx="781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1413551</xdr:colOff>
      <xdr:row>1</xdr:row>
      <xdr:rowOff>70930</xdr:rowOff>
    </xdr:from>
    <xdr:to>
      <xdr:col>1</xdr:col>
      <xdr:colOff>2203923</xdr:colOff>
      <xdr:row>1</xdr:row>
      <xdr:rowOff>70930</xdr:rowOff>
    </xdr:to>
    <xdr:cxnSp macro="">
      <xdr:nvCxnSpPr>
        <xdr:cNvPr id="3" name="Straight Connector 2">
          <a:extLst>
            <a:ext uri="{FF2B5EF4-FFF2-40B4-BE49-F238E27FC236}">
              <a16:creationId xmlns:a16="http://schemas.microsoft.com/office/drawing/2014/main" id="{724F9641-B8CB-473D-A4DD-6AFC57319693}"/>
            </a:ext>
          </a:extLst>
        </xdr:cNvPr>
        <xdr:cNvCxnSpPr/>
      </xdr:nvCxnSpPr>
      <xdr:spPr>
        <a:xfrm>
          <a:off x="1849269" y="268524"/>
          <a:ext cx="7903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1252538</xdr:colOff>
      <xdr:row>1</xdr:row>
      <xdr:rowOff>66675</xdr:rowOff>
    </xdr:from>
    <xdr:to>
      <xdr:col>1</xdr:col>
      <xdr:colOff>1966913</xdr:colOff>
      <xdr:row>1</xdr:row>
      <xdr:rowOff>66675</xdr:rowOff>
    </xdr:to>
    <xdr:cxnSp macro="">
      <xdr:nvCxnSpPr>
        <xdr:cNvPr id="3" name="Straight Connector 2">
          <a:extLst>
            <a:ext uri="{FF2B5EF4-FFF2-40B4-BE49-F238E27FC236}">
              <a16:creationId xmlns:a16="http://schemas.microsoft.com/office/drawing/2014/main" id="{9CC0F0D6-0568-40F3-974A-22C714F8BD66}"/>
            </a:ext>
          </a:extLst>
        </xdr:cNvPr>
        <xdr:cNvCxnSpPr/>
      </xdr:nvCxnSpPr>
      <xdr:spPr>
        <a:xfrm>
          <a:off x="1614488" y="233363"/>
          <a:ext cx="714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1252538</xdr:colOff>
      <xdr:row>1</xdr:row>
      <xdr:rowOff>66675</xdr:rowOff>
    </xdr:from>
    <xdr:to>
      <xdr:col>11</xdr:col>
      <xdr:colOff>1966913</xdr:colOff>
      <xdr:row>1</xdr:row>
      <xdr:rowOff>66675</xdr:rowOff>
    </xdr:to>
    <xdr:cxnSp macro="">
      <xdr:nvCxnSpPr>
        <xdr:cNvPr id="4" name="Straight Connector 3">
          <a:extLst>
            <a:ext uri="{FF2B5EF4-FFF2-40B4-BE49-F238E27FC236}">
              <a16:creationId xmlns:a16="http://schemas.microsoft.com/office/drawing/2014/main" id="{6211ACD8-89E0-45B3-9D51-F9AFD0B2E334}"/>
            </a:ext>
          </a:extLst>
        </xdr:cNvPr>
        <xdr:cNvCxnSpPr/>
      </xdr:nvCxnSpPr>
      <xdr:spPr>
        <a:xfrm>
          <a:off x="1614488" y="233363"/>
          <a:ext cx="714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76200</xdr:colOff>
      <xdr:row>1</xdr:row>
      <xdr:rowOff>57150</xdr:rowOff>
    </xdr:from>
    <xdr:to>
      <xdr:col>11</xdr:col>
      <xdr:colOff>785813</xdr:colOff>
      <xdr:row>1</xdr:row>
      <xdr:rowOff>57150</xdr:rowOff>
    </xdr:to>
    <xdr:cxnSp macro="">
      <xdr:nvCxnSpPr>
        <xdr:cNvPr id="6" name="Straight Connector 5">
          <a:extLst>
            <a:ext uri="{FF2B5EF4-FFF2-40B4-BE49-F238E27FC236}">
              <a16:creationId xmlns:a16="http://schemas.microsoft.com/office/drawing/2014/main" id="{C6833671-CDAD-485D-BEBE-4FDA80504B38}"/>
            </a:ext>
          </a:extLst>
        </xdr:cNvPr>
        <xdr:cNvCxnSpPr/>
      </xdr:nvCxnSpPr>
      <xdr:spPr>
        <a:xfrm>
          <a:off x="12068175" y="223838"/>
          <a:ext cx="7096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671513</xdr:colOff>
      <xdr:row>1</xdr:row>
      <xdr:rowOff>71437</xdr:rowOff>
    </xdr:from>
    <xdr:to>
      <xdr:col>23</xdr:col>
      <xdr:colOff>328613</xdr:colOff>
      <xdr:row>1</xdr:row>
      <xdr:rowOff>71437</xdr:rowOff>
    </xdr:to>
    <xdr:cxnSp macro="">
      <xdr:nvCxnSpPr>
        <xdr:cNvPr id="8" name="Straight Connector 7">
          <a:extLst>
            <a:ext uri="{FF2B5EF4-FFF2-40B4-BE49-F238E27FC236}">
              <a16:creationId xmlns:a16="http://schemas.microsoft.com/office/drawing/2014/main" id="{C386DBD6-D2AB-4666-A40D-749182F63923}"/>
            </a:ext>
          </a:extLst>
        </xdr:cNvPr>
        <xdr:cNvCxnSpPr/>
      </xdr:nvCxnSpPr>
      <xdr:spPr>
        <a:xfrm>
          <a:off x="23036213" y="238125"/>
          <a:ext cx="600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1179065</xdr:colOff>
      <xdr:row>1</xdr:row>
      <xdr:rowOff>69357</xdr:rowOff>
    </xdr:from>
    <xdr:to>
      <xdr:col>1</xdr:col>
      <xdr:colOff>2066832</xdr:colOff>
      <xdr:row>1</xdr:row>
      <xdr:rowOff>69357</xdr:rowOff>
    </xdr:to>
    <xdr:cxnSp macro="">
      <xdr:nvCxnSpPr>
        <xdr:cNvPr id="3" name="Straight Connector 2">
          <a:extLst>
            <a:ext uri="{FF2B5EF4-FFF2-40B4-BE49-F238E27FC236}">
              <a16:creationId xmlns:a16="http://schemas.microsoft.com/office/drawing/2014/main" id="{B38E05DB-0979-43B7-AA9C-6C54975A3ADA}"/>
            </a:ext>
          </a:extLst>
        </xdr:cNvPr>
        <xdr:cNvCxnSpPr/>
      </xdr:nvCxnSpPr>
      <xdr:spPr>
        <a:xfrm>
          <a:off x="1548968" y="263556"/>
          <a:ext cx="88776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xdr:row>
      <xdr:rowOff>76200</xdr:rowOff>
    </xdr:from>
    <xdr:to>
      <xdr:col>1</xdr:col>
      <xdr:colOff>852487</xdr:colOff>
      <xdr:row>1</xdr:row>
      <xdr:rowOff>76200</xdr:rowOff>
    </xdr:to>
    <xdr:cxnSp macro="">
      <xdr:nvCxnSpPr>
        <xdr:cNvPr id="3" name="Straight Connector 2">
          <a:extLst>
            <a:ext uri="{FF2B5EF4-FFF2-40B4-BE49-F238E27FC236}">
              <a16:creationId xmlns:a16="http://schemas.microsoft.com/office/drawing/2014/main" id="{3312130E-9E07-4D9A-A1A1-14DEA7E979DC}"/>
            </a:ext>
          </a:extLst>
        </xdr:cNvPr>
        <xdr:cNvCxnSpPr/>
      </xdr:nvCxnSpPr>
      <xdr:spPr>
        <a:xfrm>
          <a:off x="547688" y="266700"/>
          <a:ext cx="79533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CKH%20TMR\T&#224;i%20li&#7879;u%20T&#237;n\tri&#7875;n%20khai%20x&#226;y%20d&#7921;ng%20d&#7921;%20to&#225;n%20chi%20ti&#7871;t%20n&#259;m%202022\chu&#7849;n%20b&#7883;%20n&#7897;i%20dung%20giao%20d&#7921;%20to&#225;n%202022\giao%20d&#7921;%20to&#225;n%202022\Q&#272;%20giao%20DT%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ân đối thu chi"/>
      <sheetName val="Tổng hợp DT chi huyện xã"/>
      <sheetName val="DT thu 2022"/>
      <sheetName val="DT chi cân đối NS huyện"/>
      <sheetName val="chi xã"/>
      <sheetName val="Du toan chi co muc tieu ns "/>
      <sheetName val="HS lương xã 2022"/>
      <sheetName val="SC SNGD"/>
      <sheetName val="chỉ tiêu KTXH"/>
      <sheetName val="chỉ tieeuNN-TS"/>
      <sheetName val="chỉ tiêu VHXH"/>
      <sheetName val="chi tieu gd-d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35"/>
  <sheetViews>
    <sheetView workbookViewId="0">
      <selection activeCell="A3" sqref="A3:I3"/>
    </sheetView>
  </sheetViews>
  <sheetFormatPr defaultColWidth="8.89453125" defaultRowHeight="15.4"/>
  <cols>
    <col min="1" max="1" width="29.3125" style="3" customWidth="1"/>
    <col min="2" max="2" width="12.89453125" style="3" customWidth="1"/>
    <col min="3" max="4" width="12.1015625" style="3" customWidth="1"/>
    <col min="5" max="5" width="11.68359375" style="3" customWidth="1"/>
    <col min="6" max="6" width="35.1015625" style="3" customWidth="1"/>
    <col min="7" max="7" width="12.3125" style="3" customWidth="1"/>
    <col min="8" max="8" width="12.1015625" style="3" customWidth="1"/>
    <col min="9" max="9" width="11.41796875" style="3" customWidth="1"/>
    <col min="10" max="11" width="8.89453125" style="3"/>
    <col min="12" max="12" width="11.41796875" style="3" bestFit="1" customWidth="1"/>
    <col min="13" max="16384" width="8.89453125" style="3"/>
  </cols>
  <sheetData>
    <row r="1" spans="1:12" ht="25.5" customHeight="1">
      <c r="A1" s="560" t="s">
        <v>84</v>
      </c>
      <c r="B1" s="560"/>
      <c r="H1" s="561" t="s">
        <v>277</v>
      </c>
      <c r="I1" s="561"/>
    </row>
    <row r="2" spans="1:12">
      <c r="A2" s="562" t="s">
        <v>800</v>
      </c>
      <c r="B2" s="562"/>
      <c r="C2" s="562"/>
      <c r="D2" s="562"/>
      <c r="E2" s="562"/>
      <c r="F2" s="562"/>
      <c r="G2" s="562"/>
      <c r="H2" s="562"/>
      <c r="I2" s="562"/>
    </row>
    <row r="3" spans="1:12" ht="36.75" customHeight="1">
      <c r="A3" s="563" t="s">
        <v>896</v>
      </c>
      <c r="B3" s="563"/>
      <c r="C3" s="563"/>
      <c r="D3" s="563"/>
      <c r="E3" s="563"/>
      <c r="F3" s="563"/>
      <c r="G3" s="563"/>
      <c r="H3" s="563"/>
      <c r="I3" s="563"/>
    </row>
    <row r="4" spans="1:12">
      <c r="D4" s="391"/>
      <c r="E4" s="392"/>
      <c r="G4" s="392"/>
      <c r="H4" s="564" t="s">
        <v>709</v>
      </c>
      <c r="I4" s="564"/>
    </row>
    <row r="5" spans="1:12" s="374" customFormat="1" ht="41.25" customHeight="1">
      <c r="A5" s="559" t="s">
        <v>44</v>
      </c>
      <c r="B5" s="559"/>
      <c r="C5" s="559"/>
      <c r="D5" s="559"/>
      <c r="E5" s="559"/>
      <c r="F5" s="558" t="s">
        <v>45</v>
      </c>
      <c r="G5" s="558"/>
      <c r="H5" s="558"/>
      <c r="I5" s="558"/>
    </row>
    <row r="6" spans="1:12" s="374" customFormat="1" ht="30.75" customHeight="1">
      <c r="A6" s="558" t="s">
        <v>46</v>
      </c>
      <c r="B6" s="558" t="s">
        <v>47</v>
      </c>
      <c r="C6" s="559" t="s">
        <v>258</v>
      </c>
      <c r="D6" s="559"/>
      <c r="E6" s="559"/>
      <c r="F6" s="558" t="s">
        <v>46</v>
      </c>
      <c r="G6" s="559" t="s">
        <v>259</v>
      </c>
      <c r="H6" s="559"/>
      <c r="I6" s="559"/>
    </row>
    <row r="7" spans="1:12" s="374" customFormat="1" ht="27" customHeight="1">
      <c r="A7" s="558"/>
      <c r="B7" s="558"/>
      <c r="C7" s="393" t="s">
        <v>48</v>
      </c>
      <c r="D7" s="393" t="s">
        <v>49</v>
      </c>
      <c r="E7" s="393" t="s">
        <v>50</v>
      </c>
      <c r="F7" s="558"/>
      <c r="G7" s="393" t="s">
        <v>48</v>
      </c>
      <c r="H7" s="393" t="s">
        <v>49</v>
      </c>
      <c r="I7" s="393" t="s">
        <v>50</v>
      </c>
    </row>
    <row r="8" spans="1:12" s="374" customFormat="1" ht="21" customHeight="1">
      <c r="A8" s="394" t="s">
        <v>51</v>
      </c>
      <c r="B8" s="395">
        <f>B9+B15</f>
        <v>504737</v>
      </c>
      <c r="C8" s="395">
        <f>C9+C15</f>
        <v>504737</v>
      </c>
      <c r="D8" s="395">
        <f>D9+D15</f>
        <v>408382.65700000001</v>
      </c>
      <c r="E8" s="395">
        <f>E9+E15</f>
        <v>96354.342999999993</v>
      </c>
      <c r="F8" s="394" t="s">
        <v>52</v>
      </c>
      <c r="G8" s="395">
        <f>G9+G12+G13+G14</f>
        <v>504737.00000000006</v>
      </c>
      <c r="H8" s="395">
        <f>H9+H12+H13+H14</f>
        <v>409515.65700000006</v>
      </c>
      <c r="I8" s="395">
        <f>I9+I12+I13+I14</f>
        <v>95221.342999999993</v>
      </c>
    </row>
    <row r="9" spans="1:12" ht="21" customHeight="1">
      <c r="A9" s="394" t="s">
        <v>231</v>
      </c>
      <c r="B9" s="395">
        <f>B10+B11</f>
        <v>434408</v>
      </c>
      <c r="C9" s="395">
        <f>C10+C11</f>
        <v>434408</v>
      </c>
      <c r="D9" s="395">
        <f>D10+D11</f>
        <v>345655.65700000001</v>
      </c>
      <c r="E9" s="395">
        <f>E10+E11</f>
        <v>88752.342999999993</v>
      </c>
      <c r="F9" s="394" t="s">
        <v>238</v>
      </c>
      <c r="G9" s="395">
        <f>G10+G11</f>
        <v>7678</v>
      </c>
      <c r="H9" s="395">
        <f>H10+H11</f>
        <v>7668</v>
      </c>
      <c r="I9" s="395">
        <f>I10+I11</f>
        <v>10</v>
      </c>
    </row>
    <row r="10" spans="1:12" s="399" customFormat="1" ht="28.5" customHeight="1">
      <c r="A10" s="396" t="s">
        <v>232</v>
      </c>
      <c r="B10" s="397">
        <f>C10</f>
        <v>44457</v>
      </c>
      <c r="C10" s="397">
        <f>D10+E10</f>
        <v>44457</v>
      </c>
      <c r="D10" s="397">
        <f>'DT thu 2025'!I11</f>
        <v>44217</v>
      </c>
      <c r="E10" s="397">
        <f>'DT thu 2025'!J11</f>
        <v>240</v>
      </c>
      <c r="F10" s="398" t="s">
        <v>363</v>
      </c>
      <c r="G10" s="397">
        <f>H10+I10</f>
        <v>7590</v>
      </c>
      <c r="H10" s="397">
        <f>'Tổng hợp DT chi huyện xã'!E11</f>
        <v>7590</v>
      </c>
      <c r="I10" s="397"/>
      <c r="L10" s="400"/>
    </row>
    <row r="11" spans="1:12" s="399" customFormat="1" ht="21" customHeight="1">
      <c r="A11" s="552" t="s">
        <v>233</v>
      </c>
      <c r="B11" s="554">
        <f>C11</f>
        <v>389951</v>
      </c>
      <c r="C11" s="556">
        <f>D11+E11</f>
        <v>389951</v>
      </c>
      <c r="D11" s="556">
        <f>'DT thu 2025'!I65</f>
        <v>301438.65700000001</v>
      </c>
      <c r="E11" s="556">
        <f>'DT thu 2025'!J65</f>
        <v>88512.342999999993</v>
      </c>
      <c r="F11" s="398" t="s">
        <v>361</v>
      </c>
      <c r="G11" s="397">
        <f>H11+I11</f>
        <v>88</v>
      </c>
      <c r="H11" s="397">
        <f>'Tổng hợp DT chi huyện xã'!E13</f>
        <v>78</v>
      </c>
      <c r="I11" s="397">
        <f>'Tổng hợp DT chi huyện xã'!F13</f>
        <v>10</v>
      </c>
    </row>
    <row r="12" spans="1:12" s="399" customFormat="1" ht="21.75" customHeight="1">
      <c r="A12" s="553"/>
      <c r="B12" s="555"/>
      <c r="C12" s="557"/>
      <c r="D12" s="557"/>
      <c r="E12" s="557"/>
      <c r="F12" s="394" t="s">
        <v>267</v>
      </c>
      <c r="G12" s="395">
        <f>H12+I12</f>
        <v>418041.00000000006</v>
      </c>
      <c r="H12" s="395">
        <f>'Tổng hợp DT chi huyện xã'!E14</f>
        <v>331074.35700000008</v>
      </c>
      <c r="I12" s="395">
        <f>'Tổng hợp DT chi huyện xã'!F14</f>
        <v>86966.642999999996</v>
      </c>
    </row>
    <row r="13" spans="1:12" s="399" customFormat="1" ht="21" customHeight="1">
      <c r="A13" s="401" t="s">
        <v>53</v>
      </c>
      <c r="B13" s="402"/>
      <c r="C13" s="403"/>
      <c r="D13" s="403"/>
      <c r="E13" s="403"/>
      <c r="F13" s="394" t="s">
        <v>239</v>
      </c>
      <c r="G13" s="395">
        <f>H13+I13</f>
        <v>8689</v>
      </c>
      <c r="H13" s="395">
        <f>'Tổng hợp DT chi huyện xã'!E32</f>
        <v>6913.3</v>
      </c>
      <c r="I13" s="395">
        <f>'Tổng hợp DT chi huyện xã'!F32</f>
        <v>1775.6999999999998</v>
      </c>
    </row>
    <row r="14" spans="1:12" ht="21" customHeight="1">
      <c r="A14" s="394" t="s">
        <v>234</v>
      </c>
      <c r="B14" s="404">
        <v>0</v>
      </c>
      <c r="C14" s="404">
        <f>D14+E14</f>
        <v>0</v>
      </c>
      <c r="D14" s="404"/>
      <c r="E14" s="404"/>
      <c r="F14" s="394" t="s">
        <v>362</v>
      </c>
      <c r="G14" s="405">
        <f>G15+G17</f>
        <v>70329</v>
      </c>
      <c r="H14" s="405">
        <f>H15+H17</f>
        <v>63860</v>
      </c>
      <c r="I14" s="405">
        <f>I15+I17</f>
        <v>6469</v>
      </c>
    </row>
    <row r="15" spans="1:12" ht="21" customHeight="1">
      <c r="A15" s="394" t="s">
        <v>235</v>
      </c>
      <c r="B15" s="289">
        <f>B16+B17</f>
        <v>70329</v>
      </c>
      <c r="C15" s="289">
        <f>C16+C17</f>
        <v>70329</v>
      </c>
      <c r="D15" s="289">
        <f>D16+D17</f>
        <v>62727</v>
      </c>
      <c r="E15" s="289">
        <f>E16+E17</f>
        <v>7601.9999999999982</v>
      </c>
      <c r="F15" s="396" t="s">
        <v>240</v>
      </c>
      <c r="G15" s="406">
        <f>H15+I15</f>
        <v>51194</v>
      </c>
      <c r="H15" s="406">
        <f>'Tổng hợp DT chi huyện xã'!E34</f>
        <v>44725</v>
      </c>
      <c r="I15" s="406">
        <f>'Tổng hợp DT chi huyện xã'!F34</f>
        <v>6469</v>
      </c>
    </row>
    <row r="16" spans="1:12" ht="21" customHeight="1">
      <c r="A16" s="396" t="s">
        <v>236</v>
      </c>
      <c r="B16" s="290">
        <f>C16</f>
        <v>51194</v>
      </c>
      <c r="C16" s="290">
        <f>D16+E16</f>
        <v>51194</v>
      </c>
      <c r="D16" s="290">
        <f>'DT thu 2025'!I68</f>
        <v>43592</v>
      </c>
      <c r="E16" s="290">
        <f>'DT thu 2025'!J68</f>
        <v>7601.9999999999982</v>
      </c>
      <c r="F16" s="407" t="s">
        <v>54</v>
      </c>
      <c r="G16" s="408">
        <f>H16+I16</f>
        <v>0</v>
      </c>
      <c r="H16" s="409"/>
      <c r="I16" s="409"/>
    </row>
    <row r="17" spans="1:12" s="399" customFormat="1" ht="21" customHeight="1">
      <c r="A17" s="396" t="s">
        <v>237</v>
      </c>
      <c r="B17" s="290">
        <f>C17</f>
        <v>19135</v>
      </c>
      <c r="C17" s="290">
        <f>D17+E17</f>
        <v>19135</v>
      </c>
      <c r="D17" s="290">
        <f>'DT thu 2025'!I67</f>
        <v>19135</v>
      </c>
      <c r="E17" s="290">
        <f>'DT thu 2025'!J67</f>
        <v>0</v>
      </c>
      <c r="F17" s="396" t="s">
        <v>241</v>
      </c>
      <c r="G17" s="406">
        <f>H17+I17</f>
        <v>19135</v>
      </c>
      <c r="H17" s="406">
        <f>'Tổng hợp DT chi huyện xã'!D49</f>
        <v>19135</v>
      </c>
      <c r="I17" s="406"/>
    </row>
    <row r="18" spans="1:12" s="399" customFormat="1" ht="21" customHeight="1">
      <c r="A18" s="401" t="s">
        <v>586</v>
      </c>
      <c r="B18" s="290">
        <f>C18</f>
        <v>0</v>
      </c>
      <c r="C18" s="290">
        <f>D18+E18</f>
        <v>0</v>
      </c>
      <c r="D18" s="410"/>
      <c r="E18" s="411"/>
      <c r="F18" s="401" t="s">
        <v>587</v>
      </c>
      <c r="G18" s="408">
        <f>H18+I18</f>
        <v>0</v>
      </c>
      <c r="H18" s="409"/>
      <c r="I18" s="409"/>
    </row>
    <row r="19" spans="1:12" s="374" customFormat="1" ht="21" customHeight="1">
      <c r="A19" s="394" t="s">
        <v>55</v>
      </c>
      <c r="B19" s="412">
        <f>B20+B21</f>
        <v>0</v>
      </c>
      <c r="C19" s="412">
        <f>C20+C21</f>
        <v>0</v>
      </c>
      <c r="D19" s="412">
        <f>D20+D21</f>
        <v>0</v>
      </c>
      <c r="E19" s="412">
        <f>E20+E21</f>
        <v>0</v>
      </c>
      <c r="F19" s="394" t="s">
        <v>56</v>
      </c>
      <c r="G19" s="413"/>
      <c r="H19" s="413"/>
      <c r="I19" s="413"/>
    </row>
    <row r="20" spans="1:12" ht="24.75" customHeight="1">
      <c r="A20" s="396" t="s">
        <v>57</v>
      </c>
      <c r="B20" s="414"/>
      <c r="C20" s="414"/>
      <c r="D20" s="415"/>
      <c r="E20" s="415"/>
      <c r="F20" s="396" t="s">
        <v>242</v>
      </c>
      <c r="G20" s="377"/>
      <c r="H20" s="413"/>
      <c r="I20" s="413"/>
    </row>
    <row r="21" spans="1:12" ht="21" customHeight="1">
      <c r="A21" s="396" t="s">
        <v>58</v>
      </c>
      <c r="B21" s="415"/>
      <c r="C21" s="415">
        <f>D21+E21</f>
        <v>0</v>
      </c>
      <c r="D21" s="415"/>
      <c r="E21" s="415"/>
      <c r="F21" s="396" t="s">
        <v>243</v>
      </c>
      <c r="G21" s="377"/>
      <c r="H21" s="377"/>
      <c r="I21" s="413"/>
    </row>
    <row r="22" spans="1:12" ht="28.5" customHeight="1">
      <c r="A22" s="393" t="s">
        <v>364</v>
      </c>
      <c r="B22" s="416">
        <f>B8+B19</f>
        <v>504737</v>
      </c>
      <c r="C22" s="416">
        <f>C8+C19</f>
        <v>504737</v>
      </c>
      <c r="D22" s="416">
        <f>D8+D19</f>
        <v>408382.65700000001</v>
      </c>
      <c r="E22" s="416">
        <f>E8+E19</f>
        <v>96354.342999999993</v>
      </c>
      <c r="F22" s="393" t="s">
        <v>59</v>
      </c>
      <c r="G22" s="413">
        <f>G8+G19</f>
        <v>504737.00000000006</v>
      </c>
      <c r="H22" s="413">
        <f>H8+H19</f>
        <v>409515.65700000006</v>
      </c>
      <c r="I22" s="413">
        <f>I8+I19</f>
        <v>95221.342999999993</v>
      </c>
      <c r="L22" s="392"/>
    </row>
    <row r="23" spans="1:12">
      <c r="H23" s="417"/>
      <c r="I23" s="417"/>
    </row>
    <row r="24" spans="1:12">
      <c r="B24" s="417"/>
      <c r="C24" s="417"/>
      <c r="D24" s="417"/>
      <c r="E24" s="417"/>
      <c r="H24" s="417"/>
    </row>
    <row r="25" spans="1:12">
      <c r="B25" s="417"/>
      <c r="C25" s="417"/>
      <c r="D25" s="417"/>
      <c r="E25" s="417"/>
      <c r="G25" s="417"/>
      <c r="H25" s="417"/>
    </row>
    <row r="26" spans="1:12">
      <c r="B26" s="417"/>
      <c r="C26" s="417"/>
      <c r="D26" s="417"/>
      <c r="E26" s="417"/>
      <c r="G26" s="417"/>
      <c r="H26" s="417"/>
    </row>
    <row r="27" spans="1:12">
      <c r="H27" s="417"/>
    </row>
    <row r="28" spans="1:12">
      <c r="B28" s="417"/>
      <c r="C28" s="417"/>
      <c r="D28" s="417"/>
      <c r="E28" s="417"/>
    </row>
    <row r="29" spans="1:12">
      <c r="B29" s="417"/>
      <c r="C29" s="417"/>
      <c r="D29" s="417"/>
    </row>
    <row r="31" spans="1:12">
      <c r="B31" s="417"/>
      <c r="C31" s="417"/>
      <c r="D31" s="417"/>
    </row>
    <row r="32" spans="1:12">
      <c r="B32" s="417"/>
      <c r="C32" s="417"/>
      <c r="D32" s="417"/>
    </row>
    <row r="33" spans="2:5">
      <c r="B33" s="417"/>
      <c r="C33" s="417"/>
      <c r="D33" s="417"/>
    </row>
    <row r="34" spans="2:5">
      <c r="B34" s="417"/>
      <c r="C34" s="417"/>
      <c r="D34" s="417"/>
    </row>
    <row r="35" spans="2:5">
      <c r="B35" s="417"/>
      <c r="C35" s="417"/>
      <c r="D35" s="417"/>
      <c r="E35" s="417"/>
    </row>
  </sheetData>
  <mergeCells count="17">
    <mergeCell ref="B6:B7"/>
    <mergeCell ref="C6:E6"/>
    <mergeCell ref="A1:B1"/>
    <mergeCell ref="H1:I1"/>
    <mergeCell ref="A2:I2"/>
    <mergeCell ref="A3:I3"/>
    <mergeCell ref="F5:I5"/>
    <mergeCell ref="G6:I6"/>
    <mergeCell ref="H4:I4"/>
    <mergeCell ref="A5:E5"/>
    <mergeCell ref="F6:F7"/>
    <mergeCell ref="A6:A7"/>
    <mergeCell ref="A11:A12"/>
    <mergeCell ref="B11:B12"/>
    <mergeCell ref="C11:C12"/>
    <mergeCell ref="D11:D12"/>
    <mergeCell ref="E11:E12"/>
  </mergeCells>
  <phoneticPr fontId="20" type="noConversion"/>
  <pageMargins left="0.23" right="0.17" top="0.51181102362204722" bottom="0.51181102362204722" header="0.51181102362204722" footer="0.51181102362204722"/>
  <pageSetup paperSize="9"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21"/>
  <sheetViews>
    <sheetView workbookViewId="0">
      <selection activeCell="H9" sqref="H9"/>
    </sheetView>
  </sheetViews>
  <sheetFormatPr defaultColWidth="8.89453125" defaultRowHeight="10.15"/>
  <cols>
    <col min="1" max="1" width="3.41796875" style="150" customWidth="1"/>
    <col min="2" max="2" width="17.1015625" style="126" customWidth="1"/>
    <col min="3" max="4" width="6.89453125" style="126" customWidth="1"/>
    <col min="5" max="5" width="5.1015625" style="126" customWidth="1"/>
    <col min="6" max="7" width="6" style="126" customWidth="1"/>
    <col min="8" max="8" width="7" style="126" customWidth="1"/>
    <col min="9" max="10" width="7.3125" style="126" customWidth="1"/>
    <col min="11" max="12" width="6.7890625" style="126" customWidth="1"/>
    <col min="13" max="13" width="6.3125" style="126" customWidth="1"/>
    <col min="14" max="14" width="5.89453125" style="126" customWidth="1"/>
    <col min="15" max="16" width="5.1015625" style="126" customWidth="1"/>
    <col min="17" max="17" width="6.1015625" style="126" customWidth="1"/>
    <col min="18" max="18" width="6.41796875" style="126" customWidth="1"/>
    <col min="19" max="19" width="12.3125" style="126" customWidth="1"/>
    <col min="20" max="20" width="8.89453125" style="126"/>
    <col min="21" max="21" width="7.41796875" style="126" bestFit="1" customWidth="1"/>
    <col min="22" max="16384" width="8.89453125" style="126"/>
  </cols>
  <sheetData>
    <row r="1" spans="1:50" ht="26.25" customHeight="1">
      <c r="A1" s="641"/>
      <c r="B1" s="641"/>
      <c r="Q1" s="46" t="s">
        <v>546</v>
      </c>
    </row>
    <row r="2" spans="1:50" ht="21" customHeight="1">
      <c r="A2" s="642" t="s">
        <v>547</v>
      </c>
      <c r="B2" s="642"/>
      <c r="C2" s="642"/>
      <c r="D2" s="642"/>
      <c r="E2" s="642"/>
      <c r="F2" s="642"/>
      <c r="G2" s="642"/>
      <c r="H2" s="642"/>
      <c r="I2" s="642"/>
      <c r="J2" s="642"/>
      <c r="K2" s="642"/>
      <c r="L2" s="642"/>
      <c r="M2" s="642"/>
      <c r="N2" s="642"/>
      <c r="O2" s="642"/>
      <c r="P2" s="642"/>
      <c r="Q2" s="642"/>
      <c r="R2" s="642"/>
    </row>
    <row r="3" spans="1:50" ht="27.75" customHeight="1">
      <c r="A3" s="643" t="str">
        <f>'chỉ tiêu VHXH'!A3:F3</f>
        <v>(Kèm theo Quyết định số          /QĐ-UBND ngày         /12/2021 của UBND huyện Tu Mơ Rông)</v>
      </c>
      <c r="B3" s="644"/>
      <c r="C3" s="644"/>
      <c r="D3" s="644"/>
      <c r="E3" s="644"/>
      <c r="F3" s="644"/>
      <c r="G3" s="644"/>
      <c r="H3" s="644"/>
      <c r="I3" s="644"/>
      <c r="J3" s="644"/>
      <c r="K3" s="644"/>
      <c r="L3" s="644"/>
      <c r="M3" s="644"/>
      <c r="N3" s="644"/>
      <c r="O3" s="644"/>
      <c r="P3" s="644"/>
      <c r="Q3" s="644"/>
      <c r="R3" s="644"/>
    </row>
    <row r="4" spans="1:50" ht="28.9" customHeight="1">
      <c r="A4" s="127"/>
      <c r="B4" s="128"/>
      <c r="C4" s="129"/>
      <c r="D4" s="129"/>
      <c r="E4" s="129"/>
      <c r="F4" s="128"/>
      <c r="G4" s="128"/>
      <c r="H4" s="130"/>
      <c r="I4" s="128"/>
      <c r="J4" s="128"/>
      <c r="K4" s="128"/>
      <c r="L4" s="130"/>
      <c r="M4" s="645" t="s">
        <v>548</v>
      </c>
      <c r="N4" s="645"/>
      <c r="O4" s="645"/>
      <c r="P4" s="645"/>
      <c r="Q4" s="645"/>
      <c r="R4" s="645"/>
    </row>
    <row r="5" spans="1:50" s="132" customFormat="1" ht="24" customHeight="1">
      <c r="A5" s="640" t="s">
        <v>549</v>
      </c>
      <c r="B5" s="640" t="s">
        <v>550</v>
      </c>
      <c r="C5" s="640" t="s">
        <v>213</v>
      </c>
      <c r="D5" s="640" t="s">
        <v>551</v>
      </c>
      <c r="E5" s="640"/>
      <c r="F5" s="640" t="s">
        <v>552</v>
      </c>
      <c r="G5" s="640"/>
      <c r="H5" s="640"/>
      <c r="I5" s="640"/>
      <c r="J5" s="640"/>
      <c r="K5" s="640"/>
      <c r="L5" s="640"/>
      <c r="M5" s="640"/>
      <c r="N5" s="640"/>
      <c r="O5" s="640"/>
      <c r="P5" s="640"/>
      <c r="Q5" s="646" t="s">
        <v>553</v>
      </c>
      <c r="R5" s="646"/>
    </row>
    <row r="6" spans="1:50" s="132" customFormat="1" ht="33.75" customHeight="1">
      <c r="A6" s="640"/>
      <c r="B6" s="640"/>
      <c r="C6" s="640"/>
      <c r="D6" s="640" t="s">
        <v>554</v>
      </c>
      <c r="E6" s="640" t="s">
        <v>555</v>
      </c>
      <c r="F6" s="640" t="s">
        <v>507</v>
      </c>
      <c r="G6" s="640"/>
      <c r="H6" s="640" t="s">
        <v>508</v>
      </c>
      <c r="I6" s="640"/>
      <c r="J6" s="640" t="s">
        <v>556</v>
      </c>
      <c r="K6" s="640" t="s">
        <v>557</v>
      </c>
      <c r="L6" s="640"/>
      <c r="M6" s="640" t="s">
        <v>558</v>
      </c>
      <c r="N6" s="640"/>
      <c r="O6" s="640" t="s">
        <v>559</v>
      </c>
      <c r="P6" s="640"/>
      <c r="Q6" s="640" t="s">
        <v>560</v>
      </c>
      <c r="R6" s="647" t="s">
        <v>561</v>
      </c>
    </row>
    <row r="7" spans="1:50" s="132" customFormat="1" ht="42.75" customHeight="1">
      <c r="A7" s="640"/>
      <c r="B7" s="640"/>
      <c r="C7" s="640"/>
      <c r="D7" s="640"/>
      <c r="E7" s="640"/>
      <c r="F7" s="131" t="s">
        <v>213</v>
      </c>
      <c r="G7" s="131" t="s">
        <v>562</v>
      </c>
      <c r="H7" s="131" t="s">
        <v>213</v>
      </c>
      <c r="I7" s="131" t="s">
        <v>562</v>
      </c>
      <c r="J7" s="640"/>
      <c r="K7" s="131" t="s">
        <v>213</v>
      </c>
      <c r="L7" s="131" t="s">
        <v>562</v>
      </c>
      <c r="M7" s="131" t="s">
        <v>213</v>
      </c>
      <c r="N7" s="131" t="s">
        <v>562</v>
      </c>
      <c r="O7" s="131" t="s">
        <v>563</v>
      </c>
      <c r="P7" s="131" t="s">
        <v>558</v>
      </c>
      <c r="Q7" s="640"/>
      <c r="R7" s="648"/>
    </row>
    <row r="8" spans="1:50" s="136" customFormat="1" ht="25.15" customHeight="1">
      <c r="A8" s="133"/>
      <c r="B8" s="134" t="s">
        <v>67</v>
      </c>
      <c r="C8" s="135">
        <f>C9+C11</f>
        <v>8685</v>
      </c>
      <c r="D8" s="135">
        <f>D9+D11</f>
        <v>8685</v>
      </c>
      <c r="E8" s="135">
        <f t="shared" ref="E8:R8" si="0">E9+E11</f>
        <v>0</v>
      </c>
      <c r="F8" s="135">
        <f t="shared" si="0"/>
        <v>150</v>
      </c>
      <c r="G8" s="135">
        <f t="shared" si="0"/>
        <v>150</v>
      </c>
      <c r="H8" s="135">
        <f t="shared" si="0"/>
        <v>2320</v>
      </c>
      <c r="I8" s="135">
        <f t="shared" si="0"/>
        <v>2320</v>
      </c>
      <c r="J8" s="135">
        <f t="shared" si="0"/>
        <v>3370</v>
      </c>
      <c r="K8" s="135">
        <f t="shared" si="0"/>
        <v>2385</v>
      </c>
      <c r="L8" s="135">
        <f t="shared" si="0"/>
        <v>2385</v>
      </c>
      <c r="M8" s="135">
        <f t="shared" si="0"/>
        <v>410</v>
      </c>
      <c r="N8" s="135">
        <f t="shared" si="0"/>
        <v>410</v>
      </c>
      <c r="O8" s="135">
        <f t="shared" si="0"/>
        <v>0</v>
      </c>
      <c r="P8" s="135">
        <f t="shared" si="0"/>
        <v>50</v>
      </c>
      <c r="Q8" s="135">
        <f t="shared" si="0"/>
        <v>320</v>
      </c>
      <c r="R8" s="135">
        <f t="shared" si="0"/>
        <v>0</v>
      </c>
    </row>
    <row r="9" spans="1:50" s="136" customFormat="1" ht="25.15" customHeight="1">
      <c r="A9" s="154" t="s">
        <v>86</v>
      </c>
      <c r="B9" s="155" t="s">
        <v>564</v>
      </c>
      <c r="C9" s="137">
        <f>C10</f>
        <v>445</v>
      </c>
      <c r="D9" s="137">
        <f t="shared" ref="D9:R9" si="1">D10</f>
        <v>445</v>
      </c>
      <c r="E9" s="137">
        <f t="shared" si="1"/>
        <v>0</v>
      </c>
      <c r="F9" s="137">
        <f t="shared" si="1"/>
        <v>0</v>
      </c>
      <c r="G9" s="137">
        <f t="shared" si="1"/>
        <v>0</v>
      </c>
      <c r="H9" s="137">
        <f t="shared" si="1"/>
        <v>0</v>
      </c>
      <c r="I9" s="137">
        <f t="shared" si="1"/>
        <v>0</v>
      </c>
      <c r="J9" s="137">
        <f t="shared" si="1"/>
        <v>0</v>
      </c>
      <c r="K9" s="137">
        <f t="shared" si="1"/>
        <v>35</v>
      </c>
      <c r="L9" s="137">
        <f t="shared" si="1"/>
        <v>35</v>
      </c>
      <c r="M9" s="137">
        <f t="shared" si="1"/>
        <v>410</v>
      </c>
      <c r="N9" s="137">
        <f t="shared" si="1"/>
        <v>410</v>
      </c>
      <c r="O9" s="137">
        <f t="shared" si="1"/>
        <v>0</v>
      </c>
      <c r="P9" s="137">
        <f t="shared" si="1"/>
        <v>0</v>
      </c>
      <c r="Q9" s="137">
        <f t="shared" si="1"/>
        <v>320</v>
      </c>
      <c r="R9" s="137">
        <f t="shared" si="1"/>
        <v>0</v>
      </c>
    </row>
    <row r="10" spans="1:50" s="136" customFormat="1" ht="25.15" customHeight="1">
      <c r="A10" s="138" t="s">
        <v>102</v>
      </c>
      <c r="B10" s="156" t="s">
        <v>565</v>
      </c>
      <c r="C10" s="139">
        <f>K10+M10</f>
        <v>445</v>
      </c>
      <c r="D10" s="139">
        <f>L10+N10</f>
        <v>445</v>
      </c>
      <c r="E10" s="139"/>
      <c r="F10" s="139"/>
      <c r="G10" s="139"/>
      <c r="H10" s="139"/>
      <c r="I10" s="139"/>
      <c r="J10" s="139"/>
      <c r="K10" s="139">
        <v>35</v>
      </c>
      <c r="L10" s="139">
        <v>35</v>
      </c>
      <c r="M10" s="139">
        <v>410</v>
      </c>
      <c r="N10" s="139">
        <v>410</v>
      </c>
      <c r="O10" s="139"/>
      <c r="P10" s="139"/>
      <c r="Q10" s="139">
        <v>320</v>
      </c>
      <c r="R10" s="139"/>
    </row>
    <row r="11" spans="1:50" s="136" customFormat="1" ht="25.15" customHeight="1">
      <c r="A11" s="154" t="s">
        <v>87</v>
      </c>
      <c r="B11" s="155" t="s">
        <v>566</v>
      </c>
      <c r="C11" s="137">
        <f>C12</f>
        <v>8240</v>
      </c>
      <c r="D11" s="137">
        <f t="shared" ref="D11:R11" si="2">D12</f>
        <v>8240</v>
      </c>
      <c r="E11" s="137">
        <f t="shared" si="2"/>
        <v>0</v>
      </c>
      <c r="F11" s="137">
        <f t="shared" si="2"/>
        <v>150</v>
      </c>
      <c r="G11" s="137">
        <f t="shared" si="2"/>
        <v>150</v>
      </c>
      <c r="H11" s="137">
        <f t="shared" si="2"/>
        <v>2320</v>
      </c>
      <c r="I11" s="137">
        <f t="shared" si="2"/>
        <v>2320</v>
      </c>
      <c r="J11" s="137">
        <f t="shared" si="2"/>
        <v>3370</v>
      </c>
      <c r="K11" s="137">
        <f t="shared" si="2"/>
        <v>2350</v>
      </c>
      <c r="L11" s="137">
        <f t="shared" si="2"/>
        <v>2350</v>
      </c>
      <c r="M11" s="137">
        <f t="shared" si="2"/>
        <v>0</v>
      </c>
      <c r="N11" s="137">
        <f t="shared" si="2"/>
        <v>0</v>
      </c>
      <c r="O11" s="137">
        <f t="shared" si="2"/>
        <v>0</v>
      </c>
      <c r="P11" s="137">
        <f t="shared" si="2"/>
        <v>50</v>
      </c>
      <c r="Q11" s="137">
        <f t="shared" si="2"/>
        <v>0</v>
      </c>
      <c r="R11" s="137">
        <f t="shared" si="2"/>
        <v>0</v>
      </c>
    </row>
    <row r="12" spans="1:50" s="142" customFormat="1" ht="25.15" customHeight="1">
      <c r="A12" s="140" t="s">
        <v>102</v>
      </c>
      <c r="B12" s="156" t="s">
        <v>567</v>
      </c>
      <c r="C12" s="141">
        <f>F12+H12+J12+K12+P12</f>
        <v>8240</v>
      </c>
      <c r="D12" s="141">
        <f>G12+I12+J12+L12+P12</f>
        <v>8240</v>
      </c>
      <c r="E12" s="141">
        <v>0</v>
      </c>
      <c r="F12" s="141">
        <v>150</v>
      </c>
      <c r="G12" s="141">
        <v>150</v>
      </c>
      <c r="H12" s="141">
        <v>2320</v>
      </c>
      <c r="I12" s="141">
        <v>2320</v>
      </c>
      <c r="J12" s="141">
        <v>3370</v>
      </c>
      <c r="K12" s="141">
        <v>2350</v>
      </c>
      <c r="L12" s="141">
        <v>2350</v>
      </c>
      <c r="M12" s="141">
        <v>0</v>
      </c>
      <c r="N12" s="141">
        <v>0</v>
      </c>
      <c r="O12" s="141">
        <v>0</v>
      </c>
      <c r="P12" s="141">
        <v>50</v>
      </c>
      <c r="Q12" s="141">
        <v>0</v>
      </c>
      <c r="R12" s="141">
        <v>0</v>
      </c>
      <c r="AH12" s="143"/>
      <c r="AI12" s="143"/>
      <c r="AJ12" s="143"/>
      <c r="AK12" s="143"/>
      <c r="AL12" s="143"/>
      <c r="AM12" s="143"/>
      <c r="AN12" s="143"/>
      <c r="AO12" s="143"/>
      <c r="AP12" s="143"/>
      <c r="AQ12" s="143"/>
      <c r="AR12" s="143"/>
      <c r="AS12" s="143"/>
      <c r="AT12" s="143"/>
      <c r="AU12" s="143"/>
      <c r="AV12" s="143"/>
      <c r="AW12" s="143"/>
      <c r="AX12" s="143"/>
    </row>
    <row r="13" spans="1:50" s="148" customFormat="1" ht="13.15">
      <c r="A13" s="144"/>
      <c r="B13" s="145"/>
      <c r="C13" s="145"/>
      <c r="D13" s="146"/>
      <c r="E13" s="146"/>
      <c r="F13" s="147"/>
      <c r="G13" s="147"/>
      <c r="H13" s="147"/>
      <c r="I13" s="147"/>
      <c r="J13" s="147"/>
      <c r="K13" s="147"/>
      <c r="L13" s="145"/>
      <c r="M13" s="147"/>
      <c r="N13" s="145"/>
      <c r="O13" s="145"/>
      <c r="P13" s="145"/>
      <c r="Q13" s="145"/>
      <c r="R13" s="145"/>
      <c r="AH13" s="149"/>
      <c r="AI13" s="149"/>
      <c r="AJ13" s="149"/>
      <c r="AK13" s="149"/>
      <c r="AL13" s="149"/>
      <c r="AM13" s="149"/>
      <c r="AN13" s="149"/>
      <c r="AO13" s="149"/>
      <c r="AP13" s="149"/>
      <c r="AQ13" s="149"/>
      <c r="AR13" s="149"/>
      <c r="AS13" s="149"/>
      <c r="AT13" s="149"/>
      <c r="AU13" s="149"/>
      <c r="AV13" s="149"/>
      <c r="AW13" s="149"/>
      <c r="AX13" s="149"/>
    </row>
    <row r="14" spans="1:50">
      <c r="D14" s="151"/>
      <c r="E14" s="151"/>
      <c r="F14" s="152"/>
      <c r="G14" s="152"/>
      <c r="H14" s="152"/>
      <c r="I14" s="152"/>
      <c r="J14" s="152"/>
      <c r="K14" s="152"/>
      <c r="M14" s="152"/>
      <c r="N14" s="152"/>
      <c r="O14" s="152"/>
      <c r="P14" s="152"/>
    </row>
    <row r="15" spans="1:50">
      <c r="A15" s="126"/>
      <c r="D15" s="151"/>
      <c r="E15" s="151"/>
      <c r="F15" s="152"/>
      <c r="G15" s="152"/>
      <c r="H15" s="152"/>
      <c r="I15" s="152"/>
      <c r="J15" s="152"/>
      <c r="K15" s="153"/>
      <c r="M15" s="152"/>
    </row>
    <row r="16" spans="1:50">
      <c r="A16" s="126"/>
      <c r="D16" s="151"/>
      <c r="E16" s="151"/>
      <c r="F16" s="152"/>
      <c r="G16" s="152"/>
      <c r="H16" s="152"/>
      <c r="I16" s="152"/>
      <c r="J16" s="152"/>
      <c r="K16" s="153"/>
      <c r="M16" s="152"/>
    </row>
    <row r="17" spans="1:13">
      <c r="A17" s="126"/>
      <c r="D17" s="151"/>
      <c r="E17" s="151"/>
      <c r="F17" s="152"/>
      <c r="G17" s="152"/>
      <c r="H17" s="152"/>
      <c r="I17" s="152"/>
      <c r="J17" s="152"/>
      <c r="K17" s="153"/>
      <c r="M17" s="152"/>
    </row>
    <row r="18" spans="1:13">
      <c r="A18" s="126"/>
      <c r="C18" s="152"/>
      <c r="D18" s="152"/>
      <c r="E18" s="152"/>
      <c r="G18" s="152"/>
    </row>
    <row r="19" spans="1:13">
      <c r="A19" s="126"/>
      <c r="G19" s="152" t="s">
        <v>444</v>
      </c>
    </row>
    <row r="20" spans="1:13">
      <c r="A20" s="126"/>
      <c r="G20" s="152"/>
    </row>
    <row r="21" spans="1:13">
      <c r="A21" s="126"/>
      <c r="G21" s="152"/>
    </row>
  </sheetData>
  <mergeCells count="20">
    <mergeCell ref="Q6:Q7"/>
    <mergeCell ref="R6:R7"/>
    <mergeCell ref="D6:D7"/>
    <mergeCell ref="E6:E7"/>
    <mergeCell ref="F6:G6"/>
    <mergeCell ref="H6:I6"/>
    <mergeCell ref="J6:J7"/>
    <mergeCell ref="K6:L6"/>
    <mergeCell ref="A1:B1"/>
    <mergeCell ref="A2:R2"/>
    <mergeCell ref="A3:R3"/>
    <mergeCell ref="M4:R4"/>
    <mergeCell ref="A5:A7"/>
    <mergeCell ref="B5:B7"/>
    <mergeCell ref="C5:C7"/>
    <mergeCell ref="D5:E5"/>
    <mergeCell ref="F5:P5"/>
    <mergeCell ref="Q5:R5"/>
    <mergeCell ref="M6:N6"/>
    <mergeCell ref="O6:P6"/>
  </mergeCells>
  <pageMargins left="0.7" right="0.7" top="0.75" bottom="0.75" header="0.3" footer="0.3"/>
  <pageSetup paperSize="9" scale="83"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B93"/>
  <sheetViews>
    <sheetView zoomScale="99" zoomScaleNormal="99" workbookViewId="0">
      <pane xSplit="3" ySplit="5" topLeftCell="G15" activePane="bottomRight" state="frozen"/>
      <selection activeCell="G304" sqref="G304"/>
      <selection pane="topRight" activeCell="G304" sqref="G304"/>
      <selection pane="bottomLeft" activeCell="G304" sqref="G304"/>
      <selection pane="bottomRight" activeCell="G31" sqref="G31"/>
    </sheetView>
  </sheetViews>
  <sheetFormatPr defaultColWidth="8.89453125" defaultRowHeight="15.4"/>
  <cols>
    <col min="1" max="1" width="4.1015625" style="317" customWidth="1"/>
    <col min="2" max="2" width="41.26171875" style="291" customWidth="1"/>
    <col min="3" max="14" width="10.89453125" style="291" customWidth="1"/>
    <col min="15" max="15" width="9.47265625" style="291" hidden="1" customWidth="1"/>
    <col min="16" max="16" width="8.89453125" style="291" hidden="1" customWidth="1"/>
    <col min="17" max="30" width="0" style="291" hidden="1" customWidth="1"/>
    <col min="31" max="16384" width="8.89453125" style="291"/>
  </cols>
  <sheetData>
    <row r="1" spans="1:16">
      <c r="A1" s="654" t="s">
        <v>84</v>
      </c>
      <c r="B1" s="654"/>
      <c r="C1" s="418"/>
      <c r="D1" s="418"/>
      <c r="L1" s="650" t="s">
        <v>281</v>
      </c>
      <c r="M1" s="650"/>
      <c r="N1" s="650"/>
    </row>
    <row r="2" spans="1:16">
      <c r="A2" s="652" t="s">
        <v>804</v>
      </c>
      <c r="B2" s="652"/>
      <c r="C2" s="652"/>
      <c r="D2" s="652"/>
      <c r="E2" s="652"/>
      <c r="F2" s="652"/>
      <c r="G2" s="652"/>
      <c r="H2" s="652"/>
      <c r="I2" s="652"/>
      <c r="J2" s="652"/>
      <c r="K2" s="652"/>
      <c r="L2" s="652"/>
      <c r="M2" s="652"/>
      <c r="N2" s="652"/>
    </row>
    <row r="3" spans="1:16" ht="43.15" customHeight="1">
      <c r="A3" s="653" t="str">
        <f>'DT thu 2025'!A5:L5</f>
        <v>(Kèm theo Nghị quyết số .../NQ-HĐND ngày ... tháng ... năm 2024 của HĐND huyện Tu Mơ Rông)</v>
      </c>
      <c r="B3" s="653"/>
      <c r="C3" s="653"/>
      <c r="D3" s="653"/>
      <c r="E3" s="653"/>
      <c r="F3" s="653"/>
      <c r="G3" s="653"/>
      <c r="H3" s="653"/>
      <c r="I3" s="653"/>
      <c r="J3" s="653"/>
      <c r="K3" s="653"/>
      <c r="L3" s="653"/>
      <c r="M3" s="653"/>
      <c r="N3" s="653"/>
    </row>
    <row r="4" spans="1:16">
      <c r="A4" s="419"/>
      <c r="B4" s="482"/>
      <c r="C4" s="421"/>
      <c r="D4" s="421"/>
      <c r="E4" s="421"/>
      <c r="F4" s="421"/>
      <c r="G4" s="420"/>
      <c r="H4" s="420"/>
      <c r="I4" s="420"/>
      <c r="J4" s="420"/>
      <c r="K4" s="420"/>
      <c r="L4" s="420"/>
      <c r="M4" s="651" t="s">
        <v>709</v>
      </c>
      <c r="N4" s="651"/>
    </row>
    <row r="5" spans="1:16" ht="24" customHeight="1">
      <c r="A5" s="351" t="s">
        <v>68</v>
      </c>
      <c r="B5" s="352" t="s">
        <v>46</v>
      </c>
      <c r="C5" s="353" t="s">
        <v>213</v>
      </c>
      <c r="D5" s="353" t="s">
        <v>24</v>
      </c>
      <c r="E5" s="353" t="s">
        <v>25</v>
      </c>
      <c r="F5" s="353" t="s">
        <v>26</v>
      </c>
      <c r="G5" s="353" t="s">
        <v>27</v>
      </c>
      <c r="H5" s="353" t="s">
        <v>174</v>
      </c>
      <c r="I5" s="353" t="s">
        <v>28</v>
      </c>
      <c r="J5" s="353" t="s">
        <v>29</v>
      </c>
      <c r="K5" s="351" t="s">
        <v>30</v>
      </c>
      <c r="L5" s="353" t="s">
        <v>31</v>
      </c>
      <c r="M5" s="353" t="s">
        <v>32</v>
      </c>
      <c r="N5" s="353" t="s">
        <v>33</v>
      </c>
    </row>
    <row r="6" spans="1:16" ht="19.25" customHeight="1">
      <c r="A6" s="318"/>
      <c r="B6" s="352" t="s">
        <v>175</v>
      </c>
      <c r="C6" s="320">
        <f t="shared" ref="C6:N6" si="0">C8+C10+C80</f>
        <v>88752.343000000008</v>
      </c>
      <c r="D6" s="320">
        <f t="shared" si="0"/>
        <v>7632.1660000000011</v>
      </c>
      <c r="E6" s="320">
        <f t="shared" si="0"/>
        <v>7972.9879999999985</v>
      </c>
      <c r="F6" s="320">
        <f t="shared" si="0"/>
        <v>8871.0150000000012</v>
      </c>
      <c r="G6" s="320">
        <f t="shared" si="0"/>
        <v>9634.511999999997</v>
      </c>
      <c r="H6" s="320">
        <f t="shared" si="0"/>
        <v>8600.0689999999995</v>
      </c>
      <c r="I6" s="320">
        <f t="shared" si="0"/>
        <v>7612.8940000000002</v>
      </c>
      <c r="J6" s="320">
        <f t="shared" si="0"/>
        <v>7675.0219999999999</v>
      </c>
      <c r="K6" s="320">
        <f t="shared" si="0"/>
        <v>7855.9299999999994</v>
      </c>
      <c r="L6" s="320">
        <f t="shared" si="0"/>
        <v>6937.4069999999992</v>
      </c>
      <c r="M6" s="320">
        <f t="shared" si="0"/>
        <v>7778.7669999999998</v>
      </c>
      <c r="N6" s="320">
        <f t="shared" si="0"/>
        <v>8181.5729999999994</v>
      </c>
    </row>
    <row r="7" spans="1:16" s="356" customFormat="1" ht="30" customHeight="1">
      <c r="A7" s="358"/>
      <c r="B7" s="378" t="s">
        <v>705</v>
      </c>
      <c r="C7" s="359">
        <f t="shared" ref="C7:C23" si="1">SUM(D7:N7)</f>
        <v>1249.1399999999999</v>
      </c>
      <c r="D7" s="359">
        <f>(D33+D32+D35+D36+D37+D38+D56+D58+D59+D61+D62+D68+D69+D70+D71+D72+D73+D74+D75+D76)*10%</f>
        <v>104.83</v>
      </c>
      <c r="E7" s="359">
        <f>(E33+E32+E35+E36+E37+E38+E56+E58+E59+E61+E62+E68+E69+E70+E71+E72+E73+E74+E75+E76+E64+E65)*10%</f>
        <v>113.21</v>
      </c>
      <c r="F7" s="359">
        <f t="shared" ref="F7:N7" si="2">(F33+F32+F35+F36+F37+F38+F56+F58+F59+F61+F62+F68+F69+F70+F71+F72+F73+F74+F75+F76+F64+F65)*10%</f>
        <v>125.9</v>
      </c>
      <c r="G7" s="359">
        <f t="shared" si="2"/>
        <v>134.28</v>
      </c>
      <c r="H7" s="359">
        <f t="shared" si="2"/>
        <v>148.51</v>
      </c>
      <c r="I7" s="359">
        <f t="shared" si="2"/>
        <v>112.02000000000001</v>
      </c>
      <c r="J7" s="359">
        <f t="shared" si="2"/>
        <v>95.26</v>
      </c>
      <c r="K7" s="359">
        <f t="shared" si="2"/>
        <v>100.64</v>
      </c>
      <c r="L7" s="359">
        <f t="shared" si="2"/>
        <v>96.45</v>
      </c>
      <c r="M7" s="359">
        <f t="shared" si="2"/>
        <v>104.83</v>
      </c>
      <c r="N7" s="359">
        <f t="shared" si="2"/>
        <v>113.21</v>
      </c>
    </row>
    <row r="8" spans="1:16" ht="19.25" customHeight="1">
      <c r="A8" s="318" t="s">
        <v>86</v>
      </c>
      <c r="B8" s="319" t="s">
        <v>176</v>
      </c>
      <c r="C8" s="320">
        <f t="shared" si="1"/>
        <v>10</v>
      </c>
      <c r="D8" s="354">
        <f t="shared" ref="D8:N8" si="3">D9</f>
        <v>0</v>
      </c>
      <c r="E8" s="354">
        <f t="shared" si="3"/>
        <v>0</v>
      </c>
      <c r="F8" s="354">
        <f t="shared" si="3"/>
        <v>0</v>
      </c>
      <c r="G8" s="354">
        <f t="shared" si="3"/>
        <v>0</v>
      </c>
      <c r="H8" s="354">
        <f t="shared" si="3"/>
        <v>10</v>
      </c>
      <c r="I8" s="354">
        <f t="shared" si="3"/>
        <v>0</v>
      </c>
      <c r="J8" s="354">
        <f t="shared" si="3"/>
        <v>0</v>
      </c>
      <c r="K8" s="354">
        <f t="shared" si="3"/>
        <v>0</v>
      </c>
      <c r="L8" s="354">
        <f t="shared" si="3"/>
        <v>0</v>
      </c>
      <c r="M8" s="354">
        <f t="shared" si="3"/>
        <v>0</v>
      </c>
      <c r="N8" s="354">
        <f t="shared" si="3"/>
        <v>0</v>
      </c>
    </row>
    <row r="9" spans="1:16" s="355" customFormat="1" ht="19.25" customHeight="1">
      <c r="A9" s="303" t="s">
        <v>102</v>
      </c>
      <c r="B9" s="304" t="s">
        <v>177</v>
      </c>
      <c r="C9" s="306">
        <f t="shared" si="1"/>
        <v>10</v>
      </c>
      <c r="D9" s="305"/>
      <c r="E9" s="305"/>
      <c r="F9" s="305"/>
      <c r="G9" s="305"/>
      <c r="H9" s="305">
        <f>'DT thu 2025'!R31</f>
        <v>10</v>
      </c>
      <c r="I9" s="305"/>
      <c r="J9" s="305"/>
      <c r="K9" s="305"/>
      <c r="L9" s="305"/>
      <c r="M9" s="305"/>
      <c r="N9" s="305"/>
    </row>
    <row r="10" spans="1:16" ht="19.25" customHeight="1">
      <c r="A10" s="318" t="s">
        <v>87</v>
      </c>
      <c r="B10" s="319" t="s">
        <v>178</v>
      </c>
      <c r="C10" s="320">
        <f>SUM(D10:N10)</f>
        <v>86966.643000000011</v>
      </c>
      <c r="D10" s="320">
        <f t="shared" ref="D10:N10" si="4">D11+D16+D20+D24+D28+D32+D33+D35+D36+D37+D38+D39+D40+D41+D49+D56+D59+D60+D68+D69+D70+D71+D72+D73+D74+D76+D58+D77+D75+D79+D78</f>
        <v>7479.4660000000013</v>
      </c>
      <c r="E10" s="320">
        <f t="shared" si="4"/>
        <v>7813.4879999999985</v>
      </c>
      <c r="F10" s="320">
        <f t="shared" si="4"/>
        <v>8693.5150000000012</v>
      </c>
      <c r="G10" s="320">
        <f>G11+G16+G20+G24+G28+G32+G33+G35+G36+G37+G38+G39+G40+G41+G49+G56+G59+G60+G68+G69+G70+G71+G72+G73+G74+G76+G58+G77+G75+G79+G78</f>
        <v>9441.7119999999977</v>
      </c>
      <c r="H10" s="320">
        <f t="shared" si="4"/>
        <v>8418.0689999999995</v>
      </c>
      <c r="I10" s="320">
        <f t="shared" si="4"/>
        <v>7460.5940000000001</v>
      </c>
      <c r="J10" s="320">
        <f t="shared" si="4"/>
        <v>7521.4219999999996</v>
      </c>
      <c r="K10" s="320">
        <f t="shared" si="4"/>
        <v>7698.73</v>
      </c>
      <c r="L10" s="320">
        <f t="shared" si="4"/>
        <v>6798.6069999999991</v>
      </c>
      <c r="M10" s="320">
        <f t="shared" si="4"/>
        <v>7623.1669999999995</v>
      </c>
      <c r="N10" s="320">
        <f t="shared" si="4"/>
        <v>8017.8729999999996</v>
      </c>
      <c r="P10" s="510"/>
    </row>
    <row r="11" spans="1:16" ht="38.35" customHeight="1">
      <c r="A11" s="309" t="s">
        <v>69</v>
      </c>
      <c r="B11" s="304" t="s">
        <v>817</v>
      </c>
      <c r="C11" s="306">
        <f>SUM(D11:N11)</f>
        <v>40216.101000000002</v>
      </c>
      <c r="D11" s="306">
        <f>D12+D13+D14+D15</f>
        <v>3602.5770000000007</v>
      </c>
      <c r="E11" s="306">
        <f t="shared" ref="E11:M11" si="5">E12+E13+E14+E15</f>
        <v>3613.1849999999999</v>
      </c>
      <c r="F11" s="306">
        <f t="shared" si="5"/>
        <v>3714.0419999999999</v>
      </c>
      <c r="G11" s="306">
        <f t="shared" si="5"/>
        <v>4036.3110000000001</v>
      </c>
      <c r="H11" s="306">
        <f t="shared" si="5"/>
        <v>3890.3070000000002</v>
      </c>
      <c r="I11" s="306">
        <f t="shared" si="5"/>
        <v>3559.2579999999998</v>
      </c>
      <c r="J11" s="306">
        <f t="shared" si="5"/>
        <v>3724.8869999999997</v>
      </c>
      <c r="K11" s="306">
        <f t="shared" si="5"/>
        <v>3655.6220000000003</v>
      </c>
      <c r="L11" s="306">
        <f t="shared" si="5"/>
        <v>3509.9040000000005</v>
      </c>
      <c r="M11" s="306">
        <f t="shared" si="5"/>
        <v>3509.6620000000003</v>
      </c>
      <c r="N11" s="306">
        <f>N12+N13+N14+N15</f>
        <v>3400.346</v>
      </c>
      <c r="O11" s="316"/>
      <c r="P11" s="316"/>
    </row>
    <row r="12" spans="1:16" s="356" customFormat="1" ht="38.35" customHeight="1">
      <c r="A12" s="520" t="s">
        <v>102</v>
      </c>
      <c r="B12" s="521" t="s">
        <v>731</v>
      </c>
      <c r="C12" s="522">
        <f t="shared" si="1"/>
        <v>24454.455000000002</v>
      </c>
      <c r="D12" s="522">
        <v>2185.8470000000002</v>
      </c>
      <c r="E12" s="522">
        <v>2200.4870000000001</v>
      </c>
      <c r="F12" s="522">
        <v>2254.0509999999999</v>
      </c>
      <c r="G12" s="522">
        <v>2450.8180000000002</v>
      </c>
      <c r="H12" s="522">
        <v>2366.252</v>
      </c>
      <c r="I12" s="522">
        <v>2163.395</v>
      </c>
      <c r="J12" s="522">
        <v>2267.7869999999998</v>
      </c>
      <c r="K12" s="522">
        <v>2223.306</v>
      </c>
      <c r="L12" s="522">
        <v>2135.7240000000002</v>
      </c>
      <c r="M12" s="522">
        <v>2137.518</v>
      </c>
      <c r="N12" s="522">
        <v>2069.27</v>
      </c>
      <c r="O12" s="516"/>
      <c r="P12" s="516"/>
    </row>
    <row r="13" spans="1:16" s="356" customFormat="1" ht="38.35" customHeight="1">
      <c r="A13" s="520" t="s">
        <v>102</v>
      </c>
      <c r="B13" s="521" t="s">
        <v>732</v>
      </c>
      <c r="C13" s="522">
        <f t="shared" si="1"/>
        <v>5087.835</v>
      </c>
      <c r="D13" s="522">
        <v>454.77300000000002</v>
      </c>
      <c r="E13" s="522">
        <v>457.81900000000002</v>
      </c>
      <c r="F13" s="522">
        <v>468.96300000000002</v>
      </c>
      <c r="G13" s="522">
        <v>509.90100000000001</v>
      </c>
      <c r="H13" s="522">
        <v>492.30700000000002</v>
      </c>
      <c r="I13" s="522">
        <v>450.10199999999998</v>
      </c>
      <c r="J13" s="522">
        <v>471.82100000000003</v>
      </c>
      <c r="K13" s="522">
        <v>462.56700000000001</v>
      </c>
      <c r="L13" s="522">
        <v>444.34500000000003</v>
      </c>
      <c r="M13" s="522">
        <v>444.71800000000002</v>
      </c>
      <c r="N13" s="522">
        <v>430.51900000000001</v>
      </c>
      <c r="O13" s="516"/>
      <c r="P13" s="516"/>
    </row>
    <row r="14" spans="1:16" s="356" customFormat="1" ht="38.35" customHeight="1">
      <c r="A14" s="520" t="s">
        <v>102</v>
      </c>
      <c r="B14" s="521" t="s">
        <v>827</v>
      </c>
      <c r="C14" s="522">
        <f>SUM(D14:N14)</f>
        <v>8862.6839999999993</v>
      </c>
      <c r="D14" s="522">
        <v>792.18600000000004</v>
      </c>
      <c r="E14" s="522">
        <v>797.49099999999999</v>
      </c>
      <c r="F14" s="522">
        <v>816.904</v>
      </c>
      <c r="G14" s="522">
        <v>888.21500000000003</v>
      </c>
      <c r="H14" s="522">
        <v>857.56799999999998</v>
      </c>
      <c r="I14" s="522">
        <v>784.04899999999998</v>
      </c>
      <c r="J14" s="522">
        <v>821.88199999999995</v>
      </c>
      <c r="K14" s="522">
        <v>805.76199999999994</v>
      </c>
      <c r="L14" s="522">
        <v>774.02</v>
      </c>
      <c r="M14" s="522">
        <v>774.67100000000005</v>
      </c>
      <c r="N14" s="522">
        <v>749.93600000000004</v>
      </c>
      <c r="O14" s="516"/>
      <c r="P14" s="516"/>
    </row>
    <row r="15" spans="1:16" s="356" customFormat="1" ht="38.35" customHeight="1">
      <c r="A15" s="520" t="s">
        <v>102</v>
      </c>
      <c r="B15" s="521" t="s">
        <v>864</v>
      </c>
      <c r="C15" s="522">
        <f>SUM(D15:N15)</f>
        <v>1811.1270000000004</v>
      </c>
      <c r="D15" s="522">
        <v>169.77099999999999</v>
      </c>
      <c r="E15" s="522">
        <v>157.38800000000001</v>
      </c>
      <c r="F15" s="522">
        <v>174.124</v>
      </c>
      <c r="G15" s="522">
        <v>187.37700000000001</v>
      </c>
      <c r="H15" s="522">
        <v>174.18</v>
      </c>
      <c r="I15" s="522">
        <v>161.71199999999999</v>
      </c>
      <c r="J15" s="522">
        <v>163.39699999999999</v>
      </c>
      <c r="K15" s="522">
        <v>163.98699999999999</v>
      </c>
      <c r="L15" s="522">
        <v>155.815</v>
      </c>
      <c r="M15" s="522">
        <v>152.755</v>
      </c>
      <c r="N15" s="522">
        <v>150.62100000000001</v>
      </c>
      <c r="O15" s="516"/>
      <c r="P15" s="516"/>
    </row>
    <row r="16" spans="1:16" ht="51.4" customHeight="1">
      <c r="A16" s="309" t="s">
        <v>70</v>
      </c>
      <c r="B16" s="304" t="s">
        <v>757</v>
      </c>
      <c r="C16" s="306">
        <f t="shared" si="1"/>
        <v>5812.5599999999986</v>
      </c>
      <c r="D16" s="306">
        <f>(18*2.34*12)</f>
        <v>505.43999999999994</v>
      </c>
      <c r="E16" s="306">
        <f>(18*2.34*12)</f>
        <v>505.43999999999994</v>
      </c>
      <c r="F16" s="306">
        <f>(21*2.34*12)</f>
        <v>589.68000000000006</v>
      </c>
      <c r="G16" s="306">
        <f>(21*2.34*12)</f>
        <v>589.68000000000006</v>
      </c>
      <c r="H16" s="306">
        <f>(21*2.34*12)</f>
        <v>589.68000000000006</v>
      </c>
      <c r="I16" s="306">
        <f t="shared" ref="I16:N16" si="6">(18*2.34*12)</f>
        <v>505.43999999999994</v>
      </c>
      <c r="J16" s="306">
        <f t="shared" si="6"/>
        <v>505.43999999999994</v>
      </c>
      <c r="K16" s="306">
        <f t="shared" si="6"/>
        <v>505.43999999999994</v>
      </c>
      <c r="L16" s="306">
        <f t="shared" si="6"/>
        <v>505.43999999999994</v>
      </c>
      <c r="M16" s="306">
        <f t="shared" si="6"/>
        <v>505.43999999999994</v>
      </c>
      <c r="N16" s="306">
        <f t="shared" si="6"/>
        <v>505.43999999999994</v>
      </c>
    </row>
    <row r="17" spans="1:14" s="356" customFormat="1" ht="39" customHeight="1">
      <c r="A17" s="520" t="s">
        <v>102</v>
      </c>
      <c r="B17" s="521" t="s">
        <v>731</v>
      </c>
      <c r="C17" s="522">
        <f t="shared" si="1"/>
        <v>3701.1600000000008</v>
      </c>
      <c r="D17" s="522">
        <f>(18*1.49*12)</f>
        <v>321.84000000000003</v>
      </c>
      <c r="E17" s="522">
        <f>(18*1.49*12)</f>
        <v>321.84000000000003</v>
      </c>
      <c r="F17" s="522">
        <f>(21*1.49*12)</f>
        <v>375.48</v>
      </c>
      <c r="G17" s="522">
        <f>(21*1.49*12)</f>
        <v>375.48</v>
      </c>
      <c r="H17" s="522">
        <f>(21*1.49*12)</f>
        <v>375.48</v>
      </c>
      <c r="I17" s="522">
        <f t="shared" ref="I17:N17" si="7">(18*1.49*12)</f>
        <v>321.84000000000003</v>
      </c>
      <c r="J17" s="522">
        <f t="shared" si="7"/>
        <v>321.84000000000003</v>
      </c>
      <c r="K17" s="522">
        <f t="shared" si="7"/>
        <v>321.84000000000003</v>
      </c>
      <c r="L17" s="522">
        <f t="shared" si="7"/>
        <v>321.84000000000003</v>
      </c>
      <c r="M17" s="522">
        <f t="shared" si="7"/>
        <v>321.84000000000003</v>
      </c>
      <c r="N17" s="522">
        <f t="shared" si="7"/>
        <v>321.84000000000003</v>
      </c>
    </row>
    <row r="18" spans="1:14" s="356" customFormat="1" ht="39" customHeight="1">
      <c r="A18" s="520" t="s">
        <v>102</v>
      </c>
      <c r="B18" s="521" t="s">
        <v>732</v>
      </c>
      <c r="C18" s="522">
        <f t="shared" si="1"/>
        <v>770.04000000000019</v>
      </c>
      <c r="D18" s="522">
        <f>(18*0.31*12)</f>
        <v>66.960000000000008</v>
      </c>
      <c r="E18" s="522">
        <f>(18*0.31*12)</f>
        <v>66.960000000000008</v>
      </c>
      <c r="F18" s="522">
        <f>(21*0.31*12)</f>
        <v>78.12</v>
      </c>
      <c r="G18" s="522">
        <f>(21*0.31*12)</f>
        <v>78.12</v>
      </c>
      <c r="H18" s="522">
        <f>(21*0.31*12)</f>
        <v>78.12</v>
      </c>
      <c r="I18" s="522">
        <f t="shared" ref="I18:N18" si="8">(18*0.31*12)</f>
        <v>66.960000000000008</v>
      </c>
      <c r="J18" s="522">
        <f t="shared" si="8"/>
        <v>66.960000000000008</v>
      </c>
      <c r="K18" s="522">
        <f t="shared" si="8"/>
        <v>66.960000000000008</v>
      </c>
      <c r="L18" s="522">
        <f t="shared" si="8"/>
        <v>66.960000000000008</v>
      </c>
      <c r="M18" s="522">
        <f t="shared" si="8"/>
        <v>66.960000000000008</v>
      </c>
      <c r="N18" s="522">
        <f t="shared" si="8"/>
        <v>66.960000000000008</v>
      </c>
    </row>
    <row r="19" spans="1:14" s="356" customFormat="1" ht="39" customHeight="1">
      <c r="A19" s="520" t="s">
        <v>102</v>
      </c>
      <c r="B19" s="521" t="s">
        <v>827</v>
      </c>
      <c r="C19" s="522">
        <f t="shared" si="1"/>
        <v>1341.3600000000001</v>
      </c>
      <c r="D19" s="522">
        <f>(18*0.54*12)</f>
        <v>116.64000000000001</v>
      </c>
      <c r="E19" s="522">
        <f>(18*0.54*12)</f>
        <v>116.64000000000001</v>
      </c>
      <c r="F19" s="522">
        <f>(21*0.54*12)</f>
        <v>136.07999999999998</v>
      </c>
      <c r="G19" s="522">
        <f>(21*0.54*12)</f>
        <v>136.07999999999998</v>
      </c>
      <c r="H19" s="522">
        <f>(21*0.54*12)</f>
        <v>136.07999999999998</v>
      </c>
      <c r="I19" s="522">
        <f t="shared" ref="I19:N19" si="9">(18*0.54*12)</f>
        <v>116.64000000000001</v>
      </c>
      <c r="J19" s="522">
        <f t="shared" si="9"/>
        <v>116.64000000000001</v>
      </c>
      <c r="K19" s="522">
        <f t="shared" si="9"/>
        <v>116.64000000000001</v>
      </c>
      <c r="L19" s="522">
        <f t="shared" si="9"/>
        <v>116.64000000000001</v>
      </c>
      <c r="M19" s="522">
        <f t="shared" si="9"/>
        <v>116.64000000000001</v>
      </c>
      <c r="N19" s="522">
        <f t="shared" si="9"/>
        <v>116.64000000000001</v>
      </c>
    </row>
    <row r="20" spans="1:14" ht="49.15" customHeight="1">
      <c r="A20" s="309" t="s">
        <v>72</v>
      </c>
      <c r="B20" s="304" t="s">
        <v>758</v>
      </c>
      <c r="C20" s="306">
        <f t="shared" si="1"/>
        <v>10068.040000000001</v>
      </c>
      <c r="D20" s="306">
        <f>(7*4.5*2.34*12)-D83</f>
        <v>786.16200000000003</v>
      </c>
      <c r="E20" s="306">
        <f>(9*4.5*2.34*12)-E83</f>
        <v>1004.467</v>
      </c>
      <c r="F20" s="306">
        <f>(10*4.5*2.34*12)-F83</f>
        <v>1113.752</v>
      </c>
      <c r="G20" s="306">
        <f>(12*4.5*2.34*12)-G83</f>
        <v>1332.3229999999996</v>
      </c>
      <c r="H20" s="306">
        <f>(9*6*2.34*12)-H83</f>
        <v>1383.5469999999998</v>
      </c>
      <c r="I20" s="306">
        <f>(8*4.5*2.34*12)-I83</f>
        <v>895.1819999999999</v>
      </c>
      <c r="J20" s="306">
        <f>(4*4.5*2.34*12)-J83</f>
        <v>458.04099999999994</v>
      </c>
      <c r="K20" s="306">
        <f>(6*4.5*2.34*12)-K83</f>
        <v>736.87599999999986</v>
      </c>
      <c r="L20" s="306">
        <f>(5*4.5*2.34*12)-L83</f>
        <v>567.32600000000002</v>
      </c>
      <c r="M20" s="306">
        <f>(7*4.5*2.34*12)-M83</f>
        <v>785.89699999999993</v>
      </c>
      <c r="N20" s="306">
        <f>(9*4.5*2.34*12)-N83</f>
        <v>1004.467</v>
      </c>
    </row>
    <row r="21" spans="1:14" s="356" customFormat="1" ht="30" customHeight="1">
      <c r="A21" s="520" t="s">
        <v>102</v>
      </c>
      <c r="B21" s="521" t="s">
        <v>731</v>
      </c>
      <c r="C21" s="522">
        <f t="shared" si="1"/>
        <v>5982.94</v>
      </c>
      <c r="D21" s="522">
        <f>(7*4.5*1.49*12)-D83</f>
        <v>464.86200000000002</v>
      </c>
      <c r="E21" s="522">
        <f>(9*4.5*1.49*12)-E83</f>
        <v>591.36699999999996</v>
      </c>
      <c r="F21" s="522">
        <f>(10*4.5*1.49*12)-F83</f>
        <v>654.75199999999995</v>
      </c>
      <c r="G21" s="522">
        <f>(12*4.5*1.49*12)-G83</f>
        <v>781.52300000000002</v>
      </c>
      <c r="H21" s="522">
        <f>(9*6*1.49*12)-H83</f>
        <v>832.74699999999996</v>
      </c>
      <c r="I21" s="522">
        <f>(8*4.5*1.49*12)-I83</f>
        <v>527.98200000000008</v>
      </c>
      <c r="J21" s="522">
        <f>(4*4.5*1.49*12)-J83</f>
        <v>274.44100000000003</v>
      </c>
      <c r="K21" s="522">
        <f>(6*4.5*1.49*12)-K83</f>
        <v>461.476</v>
      </c>
      <c r="L21" s="522">
        <f>(5*4.5*1.49*12)-L83</f>
        <v>337.82599999999996</v>
      </c>
      <c r="M21" s="522">
        <f>(7*4.5*1.49*12)-M83</f>
        <v>464.59700000000004</v>
      </c>
      <c r="N21" s="522">
        <f>(9*4.5*1.49*12)-N83</f>
        <v>591.36699999999996</v>
      </c>
    </row>
    <row r="22" spans="1:14" s="356" customFormat="1" ht="30" customHeight="1">
      <c r="A22" s="520" t="s">
        <v>102</v>
      </c>
      <c r="B22" s="521" t="s">
        <v>732</v>
      </c>
      <c r="C22" s="522">
        <f t="shared" si="1"/>
        <v>1489.8600000000004</v>
      </c>
      <c r="D22" s="522">
        <f>(7*4.5*0.31*12)</f>
        <v>117.18</v>
      </c>
      <c r="E22" s="522">
        <f>(9*4.5*0.31*12)</f>
        <v>150.66</v>
      </c>
      <c r="F22" s="522">
        <f>(10*4.5*0.31*12)</f>
        <v>167.39999999999998</v>
      </c>
      <c r="G22" s="522">
        <f>(12*4.5*0.31*12)</f>
        <v>200.88</v>
      </c>
      <c r="H22" s="522">
        <f>(9*6*0.31*12)</f>
        <v>200.88</v>
      </c>
      <c r="I22" s="522">
        <f>(8*4.5*0.31*12)</f>
        <v>133.92000000000002</v>
      </c>
      <c r="J22" s="522">
        <f>(4*4.5*0.31*12)</f>
        <v>66.960000000000008</v>
      </c>
      <c r="K22" s="522">
        <f>(6*4.5*0.31*12)</f>
        <v>100.44</v>
      </c>
      <c r="L22" s="522">
        <f>(5*4.5*0.31*12)</f>
        <v>83.699999999999989</v>
      </c>
      <c r="M22" s="522">
        <f>(7*4.5*0.31*12)</f>
        <v>117.18</v>
      </c>
      <c r="N22" s="522">
        <f>(9*4.5*0.31*12)</f>
        <v>150.66</v>
      </c>
    </row>
    <row r="23" spans="1:14" s="356" customFormat="1" ht="30" customHeight="1">
      <c r="A23" s="520" t="s">
        <v>102</v>
      </c>
      <c r="B23" s="521" t="s">
        <v>827</v>
      </c>
      <c r="C23" s="522">
        <f t="shared" si="1"/>
        <v>2595.2400000000002</v>
      </c>
      <c r="D23" s="522">
        <f>(7*4.5*0.54*12)</f>
        <v>204.12</v>
      </c>
      <c r="E23" s="522">
        <f>(9*4.5*0.54*12)</f>
        <v>262.44</v>
      </c>
      <c r="F23" s="522">
        <f>(10*4.5*0.54*12)</f>
        <v>291.60000000000002</v>
      </c>
      <c r="G23" s="522">
        <f>(12*4.5*0.54*12)</f>
        <v>349.92000000000007</v>
      </c>
      <c r="H23" s="522">
        <f>(9*6*0.54*12)</f>
        <v>349.92000000000007</v>
      </c>
      <c r="I23" s="522">
        <f>(8*4.5*0.54*12)</f>
        <v>233.28000000000003</v>
      </c>
      <c r="J23" s="522">
        <f>(4*4.5*0.54*12)</f>
        <v>116.64000000000001</v>
      </c>
      <c r="K23" s="522">
        <f>(6*4.5*0.54*12)</f>
        <v>174.96000000000004</v>
      </c>
      <c r="L23" s="522">
        <f>(5*4.5*0.54*12)</f>
        <v>145.80000000000001</v>
      </c>
      <c r="M23" s="522">
        <f>(7*4.5*0.54*12)</f>
        <v>204.12</v>
      </c>
      <c r="N23" s="522">
        <f>(9*4.5*0.54*12)</f>
        <v>262.44</v>
      </c>
    </row>
    <row r="24" spans="1:14" ht="21.85" customHeight="1">
      <c r="A24" s="309" t="s">
        <v>73</v>
      </c>
      <c r="B24" s="304" t="s">
        <v>679</v>
      </c>
      <c r="C24" s="306">
        <f t="shared" ref="C24:C48" si="10">SUM(D24:N24)</f>
        <v>1406.8079999999995</v>
      </c>
      <c r="D24" s="306">
        <f>19*0.3*2.34*12</f>
        <v>160.05599999999998</v>
      </c>
      <c r="E24" s="306">
        <f>15*0.3*2.34*12</f>
        <v>126.35999999999999</v>
      </c>
      <c r="F24" s="306">
        <f>21*0.3*2.34*12</f>
        <v>176.904</v>
      </c>
      <c r="G24" s="306">
        <f>18*0.3*2.34*12</f>
        <v>151.63199999999998</v>
      </c>
      <c r="H24" s="306">
        <f>(16*0.3*2.34*12)</f>
        <v>134.78399999999999</v>
      </c>
      <c r="I24" s="306">
        <f>12*0.3*2.34*12</f>
        <v>101.08799999999999</v>
      </c>
      <c r="J24" s="306">
        <f>13*0.3*2.34*12</f>
        <v>109.512</v>
      </c>
      <c r="K24" s="306">
        <f>13*0.3*2.34*12</f>
        <v>109.512</v>
      </c>
      <c r="L24" s="306">
        <f>14*0.3*2.34*12</f>
        <v>117.93599999999999</v>
      </c>
      <c r="M24" s="306">
        <f>14*0.3*2.34*12</f>
        <v>117.93599999999999</v>
      </c>
      <c r="N24" s="306">
        <f>12*0.3*2.34*12</f>
        <v>101.08799999999999</v>
      </c>
    </row>
    <row r="25" spans="1:14" s="356" customFormat="1" ht="34.9" customHeight="1">
      <c r="A25" s="520" t="s">
        <v>102</v>
      </c>
      <c r="B25" s="521" t="s">
        <v>731</v>
      </c>
      <c r="C25" s="522">
        <f t="shared" si="10"/>
        <v>895.78800000000001</v>
      </c>
      <c r="D25" s="522">
        <f>19*0.3*1.49*12</f>
        <v>101.916</v>
      </c>
      <c r="E25" s="522">
        <f>15*0.3*1.49*12</f>
        <v>80.460000000000008</v>
      </c>
      <c r="F25" s="522">
        <f>21*0.3*1.49*12</f>
        <v>112.64400000000001</v>
      </c>
      <c r="G25" s="522">
        <f>18*0.3*1.49*12</f>
        <v>96.551999999999992</v>
      </c>
      <c r="H25" s="522">
        <f>(16*0.3*1.49*12)</f>
        <v>85.823999999999998</v>
      </c>
      <c r="I25" s="522">
        <f>12*0.3*1.49*12</f>
        <v>64.367999999999995</v>
      </c>
      <c r="J25" s="522">
        <f>13*0.3*1.49*12</f>
        <v>69.731999999999999</v>
      </c>
      <c r="K25" s="522">
        <f>13*0.3*1.49*12</f>
        <v>69.731999999999999</v>
      </c>
      <c r="L25" s="522">
        <f>14*0.3*1.49*12</f>
        <v>75.096000000000004</v>
      </c>
      <c r="M25" s="522">
        <f>14*0.3*1.49*12</f>
        <v>75.096000000000004</v>
      </c>
      <c r="N25" s="522">
        <f>12*0.3*1.49*12</f>
        <v>64.367999999999995</v>
      </c>
    </row>
    <row r="26" spans="1:14" s="356" customFormat="1" ht="34.9" customHeight="1">
      <c r="A26" s="520" t="s">
        <v>102</v>
      </c>
      <c r="B26" s="521" t="s">
        <v>732</v>
      </c>
      <c r="C26" s="522">
        <f t="shared" si="10"/>
        <v>186.37199999999999</v>
      </c>
      <c r="D26" s="522">
        <f>19*0.3*0.31*12</f>
        <v>21.204000000000001</v>
      </c>
      <c r="E26" s="522">
        <f>15*0.3*0.31*12</f>
        <v>16.740000000000002</v>
      </c>
      <c r="F26" s="522">
        <f>21*0.3*0.31*12</f>
        <v>23.436</v>
      </c>
      <c r="G26" s="522">
        <f>18*0.3*0.31*12</f>
        <v>20.088000000000001</v>
      </c>
      <c r="H26" s="522">
        <f>(16*0.3*0.31*12)</f>
        <v>17.856000000000002</v>
      </c>
      <c r="I26" s="522">
        <f>12*0.3*0.31*12</f>
        <v>13.391999999999999</v>
      </c>
      <c r="J26" s="522">
        <f>13*0.3*0.31*12</f>
        <v>14.508000000000001</v>
      </c>
      <c r="K26" s="522">
        <f>13*0.3*0.31*12</f>
        <v>14.508000000000001</v>
      </c>
      <c r="L26" s="522">
        <f>14*0.3*0.31*12</f>
        <v>15.624000000000001</v>
      </c>
      <c r="M26" s="522">
        <f>14*0.3*0.31*12</f>
        <v>15.624000000000001</v>
      </c>
      <c r="N26" s="522">
        <f>12*0.3*0.31*12</f>
        <v>13.391999999999999</v>
      </c>
    </row>
    <row r="27" spans="1:14" s="356" customFormat="1" ht="34.9" customHeight="1">
      <c r="A27" s="520" t="s">
        <v>102</v>
      </c>
      <c r="B27" s="521" t="s">
        <v>827</v>
      </c>
      <c r="C27" s="522">
        <f t="shared" si="10"/>
        <v>324.64799999999997</v>
      </c>
      <c r="D27" s="522">
        <f>19*0.3*0.54*12</f>
        <v>36.936000000000007</v>
      </c>
      <c r="E27" s="522">
        <f>15*0.3*0.54*12</f>
        <v>29.160000000000004</v>
      </c>
      <c r="F27" s="522">
        <f>21*0.3*0.54*12</f>
        <v>40.823999999999998</v>
      </c>
      <c r="G27" s="522">
        <f>18*0.3*0.54*12</f>
        <v>34.991999999999997</v>
      </c>
      <c r="H27" s="522">
        <f>(16*0.3*0.54*12)</f>
        <v>31.103999999999999</v>
      </c>
      <c r="I27" s="522">
        <f>12*0.3*0.54*12</f>
        <v>23.327999999999999</v>
      </c>
      <c r="J27" s="522">
        <f>13*0.3*0.54*12</f>
        <v>25.271999999999998</v>
      </c>
      <c r="K27" s="522">
        <f>13*0.3*0.54*12</f>
        <v>25.271999999999998</v>
      </c>
      <c r="L27" s="522">
        <f>14*0.3*0.54*12</f>
        <v>27.216000000000001</v>
      </c>
      <c r="M27" s="522">
        <f>14*0.3*0.54*12</f>
        <v>27.216000000000001</v>
      </c>
      <c r="N27" s="522">
        <f>12*0.3*0.54*12</f>
        <v>23.327999999999999</v>
      </c>
    </row>
    <row r="28" spans="1:14" ht="21.85" customHeight="1">
      <c r="A28" s="309" t="s">
        <v>75</v>
      </c>
      <c r="B28" s="304" t="s">
        <v>680</v>
      </c>
      <c r="C28" s="306">
        <f t="shared" si="10"/>
        <v>1314.144</v>
      </c>
      <c r="D28" s="306">
        <f>14*0.3*2.34*12</f>
        <v>117.93599999999999</v>
      </c>
      <c r="E28" s="306">
        <f>19*0.3*2.34*12</f>
        <v>160.05599999999998</v>
      </c>
      <c r="F28" s="306">
        <f>13*0.3*2.34*12</f>
        <v>109.512</v>
      </c>
      <c r="G28" s="306">
        <f>14*0.3*2.34*12</f>
        <v>117.93599999999999</v>
      </c>
      <c r="H28" s="306">
        <f>14*0.3*2.34*12</f>
        <v>117.93599999999999</v>
      </c>
      <c r="I28" s="306">
        <f>14*0.3*2.34*12</f>
        <v>117.93599999999999</v>
      </c>
      <c r="J28" s="306">
        <f>13*0.3*2.34*12</f>
        <v>109.512</v>
      </c>
      <c r="K28" s="306">
        <f>15*0.3*2.34*12</f>
        <v>126.35999999999999</v>
      </c>
      <c r="L28" s="306">
        <f>14*0.3*2.34*12</f>
        <v>117.93599999999999</v>
      </c>
      <c r="M28" s="306">
        <f>13*0.3*2.34*12</f>
        <v>109.512</v>
      </c>
      <c r="N28" s="306">
        <f>13*0.3*2.34*12</f>
        <v>109.512</v>
      </c>
    </row>
    <row r="29" spans="1:14" s="356" customFormat="1" ht="41.75" customHeight="1">
      <c r="A29" s="520" t="s">
        <v>102</v>
      </c>
      <c r="B29" s="521" t="s">
        <v>731</v>
      </c>
      <c r="C29" s="522">
        <f t="shared" si="10"/>
        <v>836.78399999999999</v>
      </c>
      <c r="D29" s="522">
        <f>14*0.3*1.49*12</f>
        <v>75.096000000000004</v>
      </c>
      <c r="E29" s="522">
        <f>19*0.3*1.49*12</f>
        <v>101.916</v>
      </c>
      <c r="F29" s="522">
        <f>13*0.3*1.49*12</f>
        <v>69.731999999999999</v>
      </c>
      <c r="G29" s="522">
        <f>14*0.3*1.49*12</f>
        <v>75.096000000000004</v>
      </c>
      <c r="H29" s="522">
        <f>14*0.3*1.49*12</f>
        <v>75.096000000000004</v>
      </c>
      <c r="I29" s="522">
        <f>14*0.3*1.49*12</f>
        <v>75.096000000000004</v>
      </c>
      <c r="J29" s="522">
        <f>13*0.3*1.49*12</f>
        <v>69.731999999999999</v>
      </c>
      <c r="K29" s="522">
        <f>15*0.3*1.49*12</f>
        <v>80.460000000000008</v>
      </c>
      <c r="L29" s="522">
        <f>14*0.3*1.49*12</f>
        <v>75.096000000000004</v>
      </c>
      <c r="M29" s="522">
        <f>13*0.3*1.49*12</f>
        <v>69.731999999999999</v>
      </c>
      <c r="N29" s="522">
        <f>13*0.3*1.49*12</f>
        <v>69.731999999999999</v>
      </c>
    </row>
    <row r="30" spans="1:14" s="356" customFormat="1" ht="41.75" customHeight="1">
      <c r="A30" s="520" t="s">
        <v>102</v>
      </c>
      <c r="B30" s="521" t="s">
        <v>732</v>
      </c>
      <c r="C30" s="522">
        <f t="shared" si="10"/>
        <v>174.096</v>
      </c>
      <c r="D30" s="522">
        <f>14*0.3*0.31*12</f>
        <v>15.624000000000001</v>
      </c>
      <c r="E30" s="522">
        <f>19*0.3*0.31*12</f>
        <v>21.204000000000001</v>
      </c>
      <c r="F30" s="522">
        <f>13*0.3*0.31*12</f>
        <v>14.508000000000001</v>
      </c>
      <c r="G30" s="522">
        <f>14*0.3*0.31*12</f>
        <v>15.624000000000001</v>
      </c>
      <c r="H30" s="522">
        <f>14*0.3*0.31*12</f>
        <v>15.624000000000001</v>
      </c>
      <c r="I30" s="522">
        <f>14*0.3*0.31*12</f>
        <v>15.624000000000001</v>
      </c>
      <c r="J30" s="522">
        <f>13*0.3*0.31*12</f>
        <v>14.508000000000001</v>
      </c>
      <c r="K30" s="522">
        <f>15*0.3*0.31*12</f>
        <v>16.740000000000002</v>
      </c>
      <c r="L30" s="522">
        <f>14*0.3*0.31*12</f>
        <v>15.624000000000001</v>
      </c>
      <c r="M30" s="522">
        <f>13*0.3*0.31*12</f>
        <v>14.508000000000001</v>
      </c>
      <c r="N30" s="522">
        <f>13*0.3*0.31*12</f>
        <v>14.508000000000001</v>
      </c>
    </row>
    <row r="31" spans="1:14" s="356" customFormat="1" ht="41.75" customHeight="1">
      <c r="A31" s="520" t="s">
        <v>102</v>
      </c>
      <c r="B31" s="521" t="s">
        <v>827</v>
      </c>
      <c r="C31" s="522">
        <f t="shared" si="10"/>
        <v>303.26400000000001</v>
      </c>
      <c r="D31" s="522">
        <f>14*0.3*0.54*12</f>
        <v>27.216000000000001</v>
      </c>
      <c r="E31" s="522">
        <f>19*0.3*0.54*12</f>
        <v>36.936000000000007</v>
      </c>
      <c r="F31" s="522">
        <f>13*0.3*0.54*12</f>
        <v>25.271999999999998</v>
      </c>
      <c r="G31" s="522">
        <f>14*0.3*0.54*12</f>
        <v>27.216000000000001</v>
      </c>
      <c r="H31" s="522">
        <f>14*0.3*0.54*12</f>
        <v>27.216000000000001</v>
      </c>
      <c r="I31" s="522">
        <f>14*0.3*0.54*12</f>
        <v>27.216000000000001</v>
      </c>
      <c r="J31" s="522">
        <f>13*0.3*0.54*12</f>
        <v>25.271999999999998</v>
      </c>
      <c r="K31" s="522">
        <f>15*0.3*0.54*12</f>
        <v>29.160000000000004</v>
      </c>
      <c r="L31" s="522">
        <f>14*0.3*0.54*12</f>
        <v>27.216000000000001</v>
      </c>
      <c r="M31" s="522">
        <f>13*0.3*0.54*12</f>
        <v>25.271999999999998</v>
      </c>
      <c r="N31" s="522">
        <f>13*0.3*0.54*12</f>
        <v>25.271999999999998</v>
      </c>
    </row>
    <row r="32" spans="1:14" ht="21.85" customHeight="1">
      <c r="A32" s="309" t="s">
        <v>300</v>
      </c>
      <c r="B32" s="304" t="s">
        <v>681</v>
      </c>
      <c r="C32" s="306">
        <f t="shared" si="10"/>
        <v>2012.3999999999999</v>
      </c>
      <c r="D32" s="306">
        <f>(7*2.34*10)</f>
        <v>163.79999999999998</v>
      </c>
      <c r="E32" s="306">
        <f>(9*2.34*10)</f>
        <v>210.6</v>
      </c>
      <c r="F32" s="306">
        <f>(10*2.34*10)</f>
        <v>234</v>
      </c>
      <c r="G32" s="306">
        <f>(12*2.34*10)</f>
        <v>280.79999999999995</v>
      </c>
      <c r="H32" s="306">
        <f>(9*2.34*10)</f>
        <v>210.6</v>
      </c>
      <c r="I32" s="306">
        <f>(8*2.34*10)</f>
        <v>187.2</v>
      </c>
      <c r="J32" s="306">
        <f>(4*2.34*10)</f>
        <v>93.6</v>
      </c>
      <c r="K32" s="306">
        <f>(6*2.34*10)</f>
        <v>140.39999999999998</v>
      </c>
      <c r="L32" s="306">
        <f>(5*2.34*10)</f>
        <v>117</v>
      </c>
      <c r="M32" s="306">
        <f>(7*2.34*10)</f>
        <v>163.79999999999998</v>
      </c>
      <c r="N32" s="306">
        <f>(9*2.34*10)</f>
        <v>210.6</v>
      </c>
    </row>
    <row r="33" spans="1:16" s="317" customFormat="1" ht="60.4" customHeight="1">
      <c r="A33" s="309" t="s">
        <v>301</v>
      </c>
      <c r="B33" s="304" t="s">
        <v>682</v>
      </c>
      <c r="C33" s="306">
        <f>SUM(D33:N33)</f>
        <v>5989</v>
      </c>
      <c r="D33" s="306">
        <v>530</v>
      </c>
      <c r="E33" s="306">
        <v>530</v>
      </c>
      <c r="F33" s="306">
        <v>583</v>
      </c>
      <c r="G33" s="306">
        <v>583</v>
      </c>
      <c r="H33" s="306">
        <v>583</v>
      </c>
      <c r="I33" s="306">
        <v>530</v>
      </c>
      <c r="J33" s="306">
        <v>530</v>
      </c>
      <c r="K33" s="306">
        <v>530</v>
      </c>
      <c r="L33" s="306">
        <v>530</v>
      </c>
      <c r="M33" s="306">
        <v>530</v>
      </c>
      <c r="N33" s="306">
        <v>530</v>
      </c>
      <c r="P33" s="523">
        <f>C33/(C12+C33)</f>
        <v>0.19672537167676926</v>
      </c>
    </row>
    <row r="34" spans="1:16" s="550" customFormat="1" ht="40.25" customHeight="1">
      <c r="A34" s="520" t="s">
        <v>102</v>
      </c>
      <c r="B34" s="521" t="s">
        <v>895</v>
      </c>
      <c r="C34" s="522">
        <f>SUM(D34:N34)</f>
        <v>452</v>
      </c>
      <c r="D34" s="522">
        <f>2*20</f>
        <v>40</v>
      </c>
      <c r="E34" s="522">
        <f t="shared" ref="E34:N34" si="11">2*20</f>
        <v>40</v>
      </c>
      <c r="F34" s="522">
        <f>2*22</f>
        <v>44</v>
      </c>
      <c r="G34" s="522">
        <f>2*22</f>
        <v>44</v>
      </c>
      <c r="H34" s="522">
        <f>2*22</f>
        <v>44</v>
      </c>
      <c r="I34" s="522">
        <f t="shared" si="11"/>
        <v>40</v>
      </c>
      <c r="J34" s="522">
        <f t="shared" si="11"/>
        <v>40</v>
      </c>
      <c r="K34" s="522">
        <f t="shared" si="11"/>
        <v>40</v>
      </c>
      <c r="L34" s="522">
        <f t="shared" si="11"/>
        <v>40</v>
      </c>
      <c r="M34" s="522">
        <f t="shared" si="11"/>
        <v>40</v>
      </c>
      <c r="N34" s="522">
        <f t="shared" si="11"/>
        <v>40</v>
      </c>
      <c r="P34" s="551"/>
    </row>
    <row r="35" spans="1:16" ht="22.25" customHeight="1">
      <c r="A35" s="309" t="s">
        <v>302</v>
      </c>
      <c r="B35" s="304" t="s">
        <v>702</v>
      </c>
      <c r="C35" s="306">
        <f t="shared" si="10"/>
        <v>55</v>
      </c>
      <c r="D35" s="306">
        <v>5</v>
      </c>
      <c r="E35" s="306">
        <v>5</v>
      </c>
      <c r="F35" s="306">
        <v>5</v>
      </c>
      <c r="G35" s="306">
        <v>5</v>
      </c>
      <c r="H35" s="306">
        <v>5</v>
      </c>
      <c r="I35" s="306">
        <v>5</v>
      </c>
      <c r="J35" s="306">
        <v>5</v>
      </c>
      <c r="K35" s="306">
        <v>5</v>
      </c>
      <c r="L35" s="306">
        <v>5</v>
      </c>
      <c r="M35" s="306">
        <v>5</v>
      </c>
      <c r="N35" s="306">
        <v>5</v>
      </c>
    </row>
    <row r="36" spans="1:16" ht="22.25" customHeight="1">
      <c r="A36" s="309" t="s">
        <v>303</v>
      </c>
      <c r="B36" s="304" t="s">
        <v>703</v>
      </c>
      <c r="C36" s="306">
        <f t="shared" si="10"/>
        <v>430</v>
      </c>
      <c r="D36" s="306">
        <f>7*5</f>
        <v>35</v>
      </c>
      <c r="E36" s="306">
        <f>9*5</f>
        <v>45</v>
      </c>
      <c r="F36" s="306">
        <f>10*5</f>
        <v>50</v>
      </c>
      <c r="G36" s="306">
        <f>12*5</f>
        <v>60</v>
      </c>
      <c r="H36" s="306">
        <f>9*5</f>
        <v>45</v>
      </c>
      <c r="I36" s="306">
        <f>8*5</f>
        <v>40</v>
      </c>
      <c r="J36" s="306">
        <f>4*5</f>
        <v>20</v>
      </c>
      <c r="K36" s="306">
        <f>6*5</f>
        <v>30</v>
      </c>
      <c r="L36" s="306">
        <f>5*5</f>
        <v>25</v>
      </c>
      <c r="M36" s="306">
        <f>7*5</f>
        <v>35</v>
      </c>
      <c r="N36" s="306">
        <f>9*5</f>
        <v>45</v>
      </c>
    </row>
    <row r="37" spans="1:16" ht="22.25" customHeight="1">
      <c r="A37" s="309" t="s">
        <v>304</v>
      </c>
      <c r="B37" s="304" t="s">
        <v>573</v>
      </c>
      <c r="C37" s="306">
        <f t="shared" si="10"/>
        <v>516</v>
      </c>
      <c r="D37" s="306">
        <f>7*6</f>
        <v>42</v>
      </c>
      <c r="E37" s="306">
        <f>6*9</f>
        <v>54</v>
      </c>
      <c r="F37" s="306">
        <f>6*10</f>
        <v>60</v>
      </c>
      <c r="G37" s="306">
        <f>6*12</f>
        <v>72</v>
      </c>
      <c r="H37" s="306">
        <f>6*9</f>
        <v>54</v>
      </c>
      <c r="I37" s="306">
        <f>6*8</f>
        <v>48</v>
      </c>
      <c r="J37" s="306">
        <f>4*6</f>
        <v>24</v>
      </c>
      <c r="K37" s="306">
        <f>6*6</f>
        <v>36</v>
      </c>
      <c r="L37" s="306">
        <f>6*5</f>
        <v>30</v>
      </c>
      <c r="M37" s="306">
        <f>6*7</f>
        <v>42</v>
      </c>
      <c r="N37" s="306">
        <f>6*9</f>
        <v>54</v>
      </c>
    </row>
    <row r="38" spans="1:16" ht="43.5" customHeight="1">
      <c r="A38" s="309" t="s">
        <v>305</v>
      </c>
      <c r="B38" s="304" t="s">
        <v>701</v>
      </c>
      <c r="C38" s="306">
        <f t="shared" si="10"/>
        <v>645</v>
      </c>
      <c r="D38" s="306">
        <f>1.5*5*7</f>
        <v>52.5</v>
      </c>
      <c r="E38" s="306">
        <f>1.5*5*9</f>
        <v>67.5</v>
      </c>
      <c r="F38" s="306">
        <f>1.5*5*10</f>
        <v>75</v>
      </c>
      <c r="G38" s="306">
        <f>1.5*5*12</f>
        <v>90</v>
      </c>
      <c r="H38" s="306">
        <f>1.5*5*9</f>
        <v>67.5</v>
      </c>
      <c r="I38" s="306">
        <f>1.5*5*8</f>
        <v>60</v>
      </c>
      <c r="J38" s="306">
        <f>4*1.5*5</f>
        <v>30</v>
      </c>
      <c r="K38" s="306">
        <f>6*1.5*5</f>
        <v>45</v>
      </c>
      <c r="L38" s="306">
        <f>1.5*5*5</f>
        <v>37.5</v>
      </c>
      <c r="M38" s="306">
        <f>1.5*5*7</f>
        <v>52.5</v>
      </c>
      <c r="N38" s="306">
        <f>1.5*5*9</f>
        <v>67.5</v>
      </c>
    </row>
    <row r="39" spans="1:16" ht="43.5" customHeight="1">
      <c r="A39" s="309" t="s">
        <v>306</v>
      </c>
      <c r="B39" s="292" t="s">
        <v>700</v>
      </c>
      <c r="C39" s="306">
        <f t="shared" si="10"/>
        <v>16.5</v>
      </c>
      <c r="D39" s="306">
        <v>1.5</v>
      </c>
      <c r="E39" s="306">
        <v>1.5</v>
      </c>
      <c r="F39" s="306">
        <v>1.5</v>
      </c>
      <c r="G39" s="306">
        <v>1.5</v>
      </c>
      <c r="H39" s="306">
        <v>1.5</v>
      </c>
      <c r="I39" s="306">
        <v>1.5</v>
      </c>
      <c r="J39" s="306">
        <v>1.5</v>
      </c>
      <c r="K39" s="306">
        <v>1.5</v>
      </c>
      <c r="L39" s="306">
        <v>1.5</v>
      </c>
      <c r="M39" s="306">
        <v>1.5</v>
      </c>
      <c r="N39" s="306">
        <v>1.5</v>
      </c>
    </row>
    <row r="40" spans="1:16" ht="25.5" customHeight="1">
      <c r="A40" s="309" t="s">
        <v>307</v>
      </c>
      <c r="B40" s="304" t="s">
        <v>179</v>
      </c>
      <c r="C40" s="306">
        <f t="shared" si="10"/>
        <v>2150</v>
      </c>
      <c r="D40" s="306">
        <f>7*25</f>
        <v>175</v>
      </c>
      <c r="E40" s="306">
        <f>9*25</f>
        <v>225</v>
      </c>
      <c r="F40" s="306">
        <f>10*25</f>
        <v>250</v>
      </c>
      <c r="G40" s="306">
        <f>12*25</f>
        <v>300</v>
      </c>
      <c r="H40" s="306">
        <f>9*25</f>
        <v>225</v>
      </c>
      <c r="I40" s="306">
        <f>8*25</f>
        <v>200</v>
      </c>
      <c r="J40" s="306">
        <f>4*25</f>
        <v>100</v>
      </c>
      <c r="K40" s="306">
        <f>6*25</f>
        <v>150</v>
      </c>
      <c r="L40" s="306">
        <f>5*25</f>
        <v>125</v>
      </c>
      <c r="M40" s="306">
        <f>7*25</f>
        <v>175</v>
      </c>
      <c r="N40" s="306">
        <f>9*25</f>
        <v>225</v>
      </c>
    </row>
    <row r="41" spans="1:16" ht="25.5" customHeight="1">
      <c r="A41" s="309" t="s">
        <v>308</v>
      </c>
      <c r="B41" s="304" t="s">
        <v>15</v>
      </c>
      <c r="C41" s="305">
        <f>SUM(D41:N41)</f>
        <v>5495.8</v>
      </c>
      <c r="D41" s="305">
        <f t="shared" ref="D41:N41" si="12">SUM(D42:D48)</f>
        <v>312.10000000000002</v>
      </c>
      <c r="E41" s="305">
        <f t="shared" si="12"/>
        <v>350.9</v>
      </c>
      <c r="F41" s="305">
        <f t="shared" si="12"/>
        <v>386.6</v>
      </c>
      <c r="G41" s="305">
        <f t="shared" si="12"/>
        <v>433.2</v>
      </c>
      <c r="H41" s="305">
        <f t="shared" si="12"/>
        <v>392.5</v>
      </c>
      <c r="I41" s="305">
        <f t="shared" si="12"/>
        <v>330.1</v>
      </c>
      <c r="J41" s="305">
        <f t="shared" si="12"/>
        <v>859.7</v>
      </c>
      <c r="K41" s="305">
        <f t="shared" si="12"/>
        <v>896.9</v>
      </c>
      <c r="L41" s="305">
        <f t="shared" si="12"/>
        <v>264.39999999999998</v>
      </c>
      <c r="M41" s="305">
        <f t="shared" si="12"/>
        <v>309.2</v>
      </c>
      <c r="N41" s="305">
        <f t="shared" si="12"/>
        <v>960.2</v>
      </c>
    </row>
    <row r="42" spans="1:16" ht="42.75" customHeight="1">
      <c r="A42" s="303" t="s">
        <v>102</v>
      </c>
      <c r="B42" s="304" t="s">
        <v>824</v>
      </c>
      <c r="C42" s="305">
        <f>SUM(D42:N42)</f>
        <v>2305.7999999999997</v>
      </c>
      <c r="D42" s="306">
        <v>192.1</v>
      </c>
      <c r="E42" s="306">
        <v>220.9</v>
      </c>
      <c r="F42" s="306">
        <v>246.6</v>
      </c>
      <c r="G42" s="306">
        <v>283.2</v>
      </c>
      <c r="H42" s="306">
        <v>262.5</v>
      </c>
      <c r="I42" s="306">
        <v>210.1</v>
      </c>
      <c r="J42" s="306">
        <v>144.69999999999999</v>
      </c>
      <c r="K42" s="306">
        <v>176.9</v>
      </c>
      <c r="L42" s="306">
        <v>159.4</v>
      </c>
      <c r="M42" s="306">
        <v>189.2</v>
      </c>
      <c r="N42" s="306">
        <v>220.2</v>
      </c>
    </row>
    <row r="43" spans="1:16" ht="23.25" customHeight="1">
      <c r="A43" s="303" t="s">
        <v>102</v>
      </c>
      <c r="B43" s="304" t="s">
        <v>733</v>
      </c>
      <c r="C43" s="305">
        <f t="shared" si="10"/>
        <v>110</v>
      </c>
      <c r="D43" s="305">
        <v>10</v>
      </c>
      <c r="E43" s="305">
        <v>10</v>
      </c>
      <c r="F43" s="305">
        <v>10</v>
      </c>
      <c r="G43" s="305">
        <v>10</v>
      </c>
      <c r="H43" s="305">
        <v>10</v>
      </c>
      <c r="I43" s="305">
        <v>10</v>
      </c>
      <c r="J43" s="305">
        <v>10</v>
      </c>
      <c r="K43" s="305">
        <v>10</v>
      </c>
      <c r="L43" s="305">
        <v>10</v>
      </c>
      <c r="M43" s="305">
        <v>10</v>
      </c>
      <c r="N43" s="305">
        <v>10</v>
      </c>
    </row>
    <row r="44" spans="1:16" ht="41.25" customHeight="1">
      <c r="A44" s="303" t="s">
        <v>102</v>
      </c>
      <c r="B44" s="304" t="s">
        <v>699</v>
      </c>
      <c r="C44" s="305">
        <f t="shared" si="10"/>
        <v>700</v>
      </c>
      <c r="D44" s="305">
        <v>60</v>
      </c>
      <c r="E44" s="305">
        <v>70</v>
      </c>
      <c r="F44" s="305">
        <v>80</v>
      </c>
      <c r="G44" s="305">
        <v>90</v>
      </c>
      <c r="H44" s="305">
        <v>70</v>
      </c>
      <c r="I44" s="305">
        <v>60</v>
      </c>
      <c r="J44" s="305">
        <v>45</v>
      </c>
      <c r="K44" s="305">
        <v>50</v>
      </c>
      <c r="L44" s="305">
        <v>45</v>
      </c>
      <c r="M44" s="305">
        <v>60</v>
      </c>
      <c r="N44" s="305">
        <v>70</v>
      </c>
    </row>
    <row r="45" spans="1:16" ht="41.25" customHeight="1">
      <c r="A45" s="303" t="s">
        <v>102</v>
      </c>
      <c r="B45" s="304" t="s">
        <v>698</v>
      </c>
      <c r="C45" s="305">
        <f t="shared" si="10"/>
        <v>165</v>
      </c>
      <c r="D45" s="305">
        <v>15</v>
      </c>
      <c r="E45" s="305">
        <v>15</v>
      </c>
      <c r="F45" s="305">
        <v>15</v>
      </c>
      <c r="G45" s="305">
        <v>15</v>
      </c>
      <c r="H45" s="305">
        <v>15</v>
      </c>
      <c r="I45" s="305">
        <v>15</v>
      </c>
      <c r="J45" s="305">
        <v>15</v>
      </c>
      <c r="K45" s="305">
        <v>15</v>
      </c>
      <c r="L45" s="305">
        <v>15</v>
      </c>
      <c r="M45" s="305">
        <v>15</v>
      </c>
      <c r="N45" s="305">
        <v>15</v>
      </c>
    </row>
    <row r="46" spans="1:16" ht="24" customHeight="1">
      <c r="A46" s="303" t="s">
        <v>102</v>
      </c>
      <c r="B46" s="304" t="s">
        <v>712</v>
      </c>
      <c r="C46" s="305">
        <f t="shared" si="10"/>
        <v>1830</v>
      </c>
      <c r="D46" s="305"/>
      <c r="E46" s="305"/>
      <c r="F46" s="305"/>
      <c r="G46" s="305"/>
      <c r="H46" s="305"/>
      <c r="I46" s="305"/>
      <c r="J46" s="305">
        <v>610</v>
      </c>
      <c r="K46" s="305">
        <v>610</v>
      </c>
      <c r="L46" s="305"/>
      <c r="M46" s="305"/>
      <c r="N46" s="305">
        <v>610</v>
      </c>
    </row>
    <row r="47" spans="1:16" ht="37.25" customHeight="1">
      <c r="A47" s="303" t="s">
        <v>102</v>
      </c>
      <c r="B47" s="292" t="s">
        <v>823</v>
      </c>
      <c r="C47" s="305">
        <f t="shared" si="10"/>
        <v>275</v>
      </c>
      <c r="D47" s="305">
        <v>25</v>
      </c>
      <c r="E47" s="305">
        <v>25</v>
      </c>
      <c r="F47" s="305">
        <v>25</v>
      </c>
      <c r="G47" s="305">
        <v>25</v>
      </c>
      <c r="H47" s="305">
        <v>25</v>
      </c>
      <c r="I47" s="305">
        <v>25</v>
      </c>
      <c r="J47" s="305">
        <v>25</v>
      </c>
      <c r="K47" s="305">
        <v>25</v>
      </c>
      <c r="L47" s="305">
        <v>25</v>
      </c>
      <c r="M47" s="305">
        <v>25</v>
      </c>
      <c r="N47" s="305">
        <v>25</v>
      </c>
    </row>
    <row r="48" spans="1:16" ht="24" customHeight="1">
      <c r="A48" s="303" t="s">
        <v>102</v>
      </c>
      <c r="B48" s="304" t="s">
        <v>697</v>
      </c>
      <c r="C48" s="305">
        <f t="shared" si="10"/>
        <v>110</v>
      </c>
      <c r="D48" s="305">
        <v>10</v>
      </c>
      <c r="E48" s="305">
        <v>10</v>
      </c>
      <c r="F48" s="305">
        <v>10</v>
      </c>
      <c r="G48" s="305">
        <v>10</v>
      </c>
      <c r="H48" s="305">
        <v>10</v>
      </c>
      <c r="I48" s="305">
        <v>10</v>
      </c>
      <c r="J48" s="305">
        <v>10</v>
      </c>
      <c r="K48" s="305">
        <v>10</v>
      </c>
      <c r="L48" s="305">
        <v>10</v>
      </c>
      <c r="M48" s="305">
        <v>10</v>
      </c>
      <c r="N48" s="305">
        <v>10</v>
      </c>
    </row>
    <row r="49" spans="1:14" ht="24" customHeight="1">
      <c r="A49" s="303">
        <v>15</v>
      </c>
      <c r="B49" s="304" t="s">
        <v>16</v>
      </c>
      <c r="C49" s="305">
        <f>SUM(D49:N49)</f>
        <v>747</v>
      </c>
      <c r="D49" s="305">
        <f>D50+D53+D54+D55</f>
        <v>36</v>
      </c>
      <c r="E49" s="305">
        <f>E50+E53+E54+E55</f>
        <v>84</v>
      </c>
      <c r="F49" s="305">
        <f t="shared" ref="F49:N49" si="13">F50+F53+F54+F55</f>
        <v>102</v>
      </c>
      <c r="G49" s="305">
        <f t="shared" si="13"/>
        <v>261</v>
      </c>
      <c r="H49" s="305">
        <f t="shared" si="13"/>
        <v>57</v>
      </c>
      <c r="I49" s="305">
        <f t="shared" si="13"/>
        <v>39</v>
      </c>
      <c r="J49" s="305">
        <f t="shared" si="13"/>
        <v>27</v>
      </c>
      <c r="K49" s="305">
        <f t="shared" si="13"/>
        <v>33</v>
      </c>
      <c r="L49" s="305">
        <f t="shared" si="13"/>
        <v>30</v>
      </c>
      <c r="M49" s="305">
        <f t="shared" si="13"/>
        <v>36</v>
      </c>
      <c r="N49" s="305">
        <f t="shared" si="13"/>
        <v>42</v>
      </c>
    </row>
    <row r="50" spans="1:14" ht="24" customHeight="1">
      <c r="A50" s="303" t="s">
        <v>102</v>
      </c>
      <c r="B50" s="304" t="s">
        <v>696</v>
      </c>
      <c r="C50" s="306">
        <f>SUM(D50:N50)</f>
        <v>294</v>
      </c>
      <c r="D50" s="306">
        <v>0</v>
      </c>
      <c r="E50" s="306">
        <f>(3.5*12)</f>
        <v>42</v>
      </c>
      <c r="F50" s="306">
        <f>3.5*12</f>
        <v>42</v>
      </c>
      <c r="G50" s="305">
        <f>(3.5*12*5)</f>
        <v>210</v>
      </c>
      <c r="H50" s="306">
        <v>0</v>
      </c>
      <c r="I50" s="306">
        <v>0</v>
      </c>
      <c r="J50" s="306">
        <v>0</v>
      </c>
      <c r="K50" s="306">
        <v>0</v>
      </c>
      <c r="L50" s="306">
        <v>0</v>
      </c>
      <c r="M50" s="306">
        <v>0</v>
      </c>
      <c r="N50" s="306">
        <v>0</v>
      </c>
    </row>
    <row r="51" spans="1:14" s="356" customFormat="1" ht="37.9" customHeight="1">
      <c r="A51" s="538" t="s">
        <v>461</v>
      </c>
      <c r="B51" s="521" t="s">
        <v>843</v>
      </c>
      <c r="C51" s="522">
        <f t="shared" ref="C51:C52" si="14">SUM(D51:N51)</f>
        <v>48.720000000000006</v>
      </c>
      <c r="D51" s="522"/>
      <c r="E51" s="522">
        <f>(2.817-2.237)*12</f>
        <v>6.9600000000000009</v>
      </c>
      <c r="F51" s="522">
        <f>(2.817-2.237)*12</f>
        <v>6.9600000000000009</v>
      </c>
      <c r="G51" s="522">
        <f>(2.817-2.237)*12*5</f>
        <v>34.800000000000004</v>
      </c>
      <c r="H51" s="522"/>
      <c r="I51" s="522"/>
      <c r="J51" s="522"/>
      <c r="K51" s="522"/>
      <c r="L51" s="522"/>
      <c r="M51" s="522"/>
      <c r="N51" s="522"/>
    </row>
    <row r="52" spans="1:14" s="356" customFormat="1" ht="34.5" customHeight="1">
      <c r="A52" s="538" t="s">
        <v>461</v>
      </c>
      <c r="B52" s="521" t="s">
        <v>844</v>
      </c>
      <c r="C52" s="522">
        <f t="shared" si="14"/>
        <v>57.371999999999986</v>
      </c>
      <c r="D52" s="522"/>
      <c r="E52" s="522">
        <f>(3.5-2.817)*12</f>
        <v>8.195999999999998</v>
      </c>
      <c r="F52" s="522">
        <f>(3.5-2.817)*12</f>
        <v>8.195999999999998</v>
      </c>
      <c r="G52" s="522">
        <f>(3.5-2.817)*12*5</f>
        <v>40.97999999999999</v>
      </c>
      <c r="H52" s="522"/>
      <c r="I52" s="522"/>
      <c r="J52" s="522"/>
      <c r="K52" s="522"/>
      <c r="L52" s="522"/>
      <c r="M52" s="522"/>
      <c r="N52" s="522"/>
    </row>
    <row r="53" spans="1:14" ht="24" customHeight="1">
      <c r="A53" s="303" t="s">
        <v>102</v>
      </c>
      <c r="B53" s="307" t="s">
        <v>734</v>
      </c>
      <c r="C53" s="306">
        <f>SUM(D53:N53)</f>
        <v>30</v>
      </c>
      <c r="D53" s="306"/>
      <c r="E53" s="306"/>
      <c r="F53" s="306">
        <v>15</v>
      </c>
      <c r="G53" s="306"/>
      <c r="H53" s="306">
        <v>15</v>
      </c>
      <c r="I53" s="306"/>
      <c r="J53" s="306"/>
      <c r="K53" s="306"/>
      <c r="L53" s="306"/>
      <c r="M53" s="306"/>
      <c r="N53" s="306"/>
    </row>
    <row r="54" spans="1:14" ht="43.25" customHeight="1">
      <c r="A54" s="303" t="s">
        <v>102</v>
      </c>
      <c r="B54" s="304" t="s">
        <v>695</v>
      </c>
      <c r="C54" s="306">
        <f>SUM(D54:N54)</f>
        <v>165</v>
      </c>
      <c r="D54" s="306">
        <v>15</v>
      </c>
      <c r="E54" s="306">
        <v>15</v>
      </c>
      <c r="F54" s="306">
        <v>15</v>
      </c>
      <c r="G54" s="306">
        <v>15</v>
      </c>
      <c r="H54" s="306">
        <v>15</v>
      </c>
      <c r="I54" s="306">
        <v>15</v>
      </c>
      <c r="J54" s="306">
        <v>15</v>
      </c>
      <c r="K54" s="306">
        <v>15</v>
      </c>
      <c r="L54" s="306">
        <v>15</v>
      </c>
      <c r="M54" s="306">
        <v>15</v>
      </c>
      <c r="N54" s="306">
        <v>15</v>
      </c>
    </row>
    <row r="55" spans="1:14" ht="43.25" customHeight="1">
      <c r="A55" s="303" t="s">
        <v>102</v>
      </c>
      <c r="B55" s="304" t="s">
        <v>694</v>
      </c>
      <c r="C55" s="306">
        <f t="shared" ref="C55:C59" si="15">SUM(D55:N55)</f>
        <v>258</v>
      </c>
      <c r="D55" s="306">
        <v>21</v>
      </c>
      <c r="E55" s="306">
        <v>27</v>
      </c>
      <c r="F55" s="306">
        <v>30</v>
      </c>
      <c r="G55" s="306">
        <f>3*12</f>
        <v>36</v>
      </c>
      <c r="H55" s="306">
        <v>27</v>
      </c>
      <c r="I55" s="306">
        <v>24</v>
      </c>
      <c r="J55" s="306">
        <v>12</v>
      </c>
      <c r="K55" s="306">
        <v>18</v>
      </c>
      <c r="L55" s="306">
        <v>15</v>
      </c>
      <c r="M55" s="306">
        <v>21</v>
      </c>
      <c r="N55" s="306">
        <v>27</v>
      </c>
    </row>
    <row r="56" spans="1:14" ht="25.5" customHeight="1">
      <c r="A56" s="308">
        <v>16</v>
      </c>
      <c r="B56" s="304" t="s">
        <v>693</v>
      </c>
      <c r="C56" s="306">
        <f t="shared" si="15"/>
        <v>330</v>
      </c>
      <c r="D56" s="306">
        <f t="shared" ref="D56:N56" si="16">SUM(D57:D57)</f>
        <v>30</v>
      </c>
      <c r="E56" s="306">
        <f t="shared" si="16"/>
        <v>30</v>
      </c>
      <c r="F56" s="306">
        <f t="shared" si="16"/>
        <v>30</v>
      </c>
      <c r="G56" s="306">
        <f t="shared" si="16"/>
        <v>30</v>
      </c>
      <c r="H56" s="306">
        <f t="shared" si="16"/>
        <v>30</v>
      </c>
      <c r="I56" s="306">
        <f t="shared" si="16"/>
        <v>30</v>
      </c>
      <c r="J56" s="306">
        <f t="shared" si="16"/>
        <v>30</v>
      </c>
      <c r="K56" s="306">
        <f t="shared" si="16"/>
        <v>30</v>
      </c>
      <c r="L56" s="306">
        <f t="shared" si="16"/>
        <v>30</v>
      </c>
      <c r="M56" s="306">
        <f t="shared" si="16"/>
        <v>30</v>
      </c>
      <c r="N56" s="306">
        <f t="shared" si="16"/>
        <v>30</v>
      </c>
    </row>
    <row r="57" spans="1:14" ht="25.5" customHeight="1">
      <c r="A57" s="303" t="s">
        <v>102</v>
      </c>
      <c r="B57" s="304" t="s">
        <v>692</v>
      </c>
      <c r="C57" s="306">
        <f t="shared" si="15"/>
        <v>330</v>
      </c>
      <c r="D57" s="306">
        <v>30</v>
      </c>
      <c r="E57" s="306">
        <v>30</v>
      </c>
      <c r="F57" s="306">
        <v>30</v>
      </c>
      <c r="G57" s="306">
        <v>30</v>
      </c>
      <c r="H57" s="306">
        <v>30</v>
      </c>
      <c r="I57" s="306">
        <v>30</v>
      </c>
      <c r="J57" s="306">
        <v>30</v>
      </c>
      <c r="K57" s="306">
        <v>30</v>
      </c>
      <c r="L57" s="306">
        <v>30</v>
      </c>
      <c r="M57" s="306">
        <v>30</v>
      </c>
      <c r="N57" s="306">
        <v>30</v>
      </c>
    </row>
    <row r="58" spans="1:14" ht="39" customHeight="1">
      <c r="A58" s="308">
        <v>17</v>
      </c>
      <c r="B58" s="304" t="s">
        <v>691</v>
      </c>
      <c r="C58" s="306">
        <f t="shared" si="15"/>
        <v>165</v>
      </c>
      <c r="D58" s="306">
        <v>15</v>
      </c>
      <c r="E58" s="306">
        <v>15</v>
      </c>
      <c r="F58" s="306">
        <v>15</v>
      </c>
      <c r="G58" s="306">
        <v>15</v>
      </c>
      <c r="H58" s="306">
        <v>15</v>
      </c>
      <c r="I58" s="306">
        <v>15</v>
      </c>
      <c r="J58" s="306">
        <v>15</v>
      </c>
      <c r="K58" s="306">
        <v>15</v>
      </c>
      <c r="L58" s="306">
        <v>15</v>
      </c>
      <c r="M58" s="306">
        <v>15</v>
      </c>
      <c r="N58" s="306">
        <v>15</v>
      </c>
    </row>
    <row r="59" spans="1:14" ht="28.9" customHeight="1">
      <c r="A59" s="308">
        <v>18</v>
      </c>
      <c r="B59" s="304" t="s">
        <v>690</v>
      </c>
      <c r="C59" s="306">
        <f t="shared" si="15"/>
        <v>165</v>
      </c>
      <c r="D59" s="306">
        <v>15</v>
      </c>
      <c r="E59" s="306">
        <v>15</v>
      </c>
      <c r="F59" s="306">
        <v>15</v>
      </c>
      <c r="G59" s="306">
        <v>15</v>
      </c>
      <c r="H59" s="306">
        <v>15</v>
      </c>
      <c r="I59" s="306">
        <v>15</v>
      </c>
      <c r="J59" s="306">
        <v>15</v>
      </c>
      <c r="K59" s="306">
        <v>15</v>
      </c>
      <c r="L59" s="306">
        <v>15</v>
      </c>
      <c r="M59" s="306">
        <v>15</v>
      </c>
      <c r="N59" s="306">
        <v>15</v>
      </c>
    </row>
    <row r="60" spans="1:14" ht="28.9" customHeight="1">
      <c r="A60" s="308">
        <v>19</v>
      </c>
      <c r="B60" s="304" t="s">
        <v>62</v>
      </c>
      <c r="C60" s="306">
        <f t="shared" ref="C60:N60" si="17">SUM(C61:C67)</f>
        <v>3017.0299999999997</v>
      </c>
      <c r="D60" s="306">
        <f t="shared" si="17"/>
        <v>156.57499999999999</v>
      </c>
      <c r="E60" s="306">
        <f t="shared" si="17"/>
        <v>267.37</v>
      </c>
      <c r="F60" s="306">
        <f t="shared" si="17"/>
        <v>488.91499999999996</v>
      </c>
      <c r="G60" s="306">
        <f t="shared" si="17"/>
        <v>354.49</v>
      </c>
      <c r="H60" s="306">
        <f t="shared" si="17"/>
        <v>444.935</v>
      </c>
      <c r="I60" s="306">
        <f t="shared" si="17"/>
        <v>102.8</v>
      </c>
      <c r="J60" s="306">
        <f t="shared" si="17"/>
        <v>201.02</v>
      </c>
      <c r="K60" s="306">
        <f t="shared" si="17"/>
        <v>200.34</v>
      </c>
      <c r="L60" s="306">
        <f t="shared" si="17"/>
        <v>126.375</v>
      </c>
      <c r="M60" s="306">
        <f t="shared" si="17"/>
        <v>465.14</v>
      </c>
      <c r="N60" s="306">
        <f t="shared" si="17"/>
        <v>209.07</v>
      </c>
    </row>
    <row r="61" spans="1:14" ht="25.5" customHeight="1">
      <c r="A61" s="303" t="s">
        <v>180</v>
      </c>
      <c r="B61" s="304" t="s">
        <v>689</v>
      </c>
      <c r="C61" s="306">
        <f t="shared" ref="C61:C72" si="18">SUM(D61:N61)</f>
        <v>110</v>
      </c>
      <c r="D61" s="306">
        <v>10</v>
      </c>
      <c r="E61" s="306">
        <v>10</v>
      </c>
      <c r="F61" s="306">
        <v>10</v>
      </c>
      <c r="G61" s="306">
        <v>10</v>
      </c>
      <c r="H61" s="306">
        <v>10</v>
      </c>
      <c r="I61" s="306">
        <v>10</v>
      </c>
      <c r="J61" s="306">
        <v>10</v>
      </c>
      <c r="K61" s="306">
        <v>10</v>
      </c>
      <c r="L61" s="306">
        <v>10</v>
      </c>
      <c r="M61" s="306">
        <v>10</v>
      </c>
      <c r="N61" s="306">
        <v>10</v>
      </c>
    </row>
    <row r="62" spans="1:14" ht="25.5" customHeight="1">
      <c r="A62" s="303" t="s">
        <v>180</v>
      </c>
      <c r="B62" s="307" t="s">
        <v>688</v>
      </c>
      <c r="C62" s="306">
        <f t="shared" si="18"/>
        <v>55</v>
      </c>
      <c r="D62" s="306">
        <v>5</v>
      </c>
      <c r="E62" s="306">
        <v>5</v>
      </c>
      <c r="F62" s="306">
        <v>5</v>
      </c>
      <c r="G62" s="306">
        <v>5</v>
      </c>
      <c r="H62" s="306">
        <v>5</v>
      </c>
      <c r="I62" s="306">
        <v>5</v>
      </c>
      <c r="J62" s="306">
        <v>5</v>
      </c>
      <c r="K62" s="306">
        <v>5</v>
      </c>
      <c r="L62" s="306">
        <v>5</v>
      </c>
      <c r="M62" s="306">
        <v>5</v>
      </c>
      <c r="N62" s="306">
        <v>5</v>
      </c>
    </row>
    <row r="63" spans="1:14" ht="25.5" customHeight="1">
      <c r="A63" s="303" t="s">
        <v>180</v>
      </c>
      <c r="B63" s="307" t="s">
        <v>825</v>
      </c>
      <c r="C63" s="306">
        <f>SUM(D63:N63)</f>
        <v>1948.03</v>
      </c>
      <c r="D63" s="306">
        <f>121.575</f>
        <v>121.575</v>
      </c>
      <c r="E63" s="306">
        <v>232.37</v>
      </c>
      <c r="F63" s="306">
        <v>209.91499999999999</v>
      </c>
      <c r="G63" s="306">
        <v>179.49</v>
      </c>
      <c r="H63" s="306">
        <v>109.935</v>
      </c>
      <c r="I63" s="306">
        <v>67.8</v>
      </c>
      <c r="J63" s="306">
        <v>166.02</v>
      </c>
      <c r="K63" s="306">
        <v>165.34</v>
      </c>
      <c r="L63" s="306">
        <v>91.375</v>
      </c>
      <c r="M63" s="306">
        <v>430.14</v>
      </c>
      <c r="N63" s="306">
        <v>174.07</v>
      </c>
    </row>
    <row r="64" spans="1:14" ht="40.9" customHeight="1">
      <c r="A64" s="303" t="s">
        <v>180</v>
      </c>
      <c r="B64" s="307" t="s">
        <v>826</v>
      </c>
      <c r="C64" s="306">
        <f t="shared" ref="C64:C65" si="19">SUM(D64:N64)</f>
        <v>220</v>
      </c>
      <c r="D64" s="306">
        <v>20</v>
      </c>
      <c r="E64" s="306">
        <v>20</v>
      </c>
      <c r="F64" s="306">
        <v>20</v>
      </c>
      <c r="G64" s="306">
        <v>20</v>
      </c>
      <c r="H64" s="306">
        <v>20</v>
      </c>
      <c r="I64" s="306">
        <v>20</v>
      </c>
      <c r="J64" s="306">
        <v>20</v>
      </c>
      <c r="K64" s="306">
        <v>20</v>
      </c>
      <c r="L64" s="306">
        <v>20</v>
      </c>
      <c r="M64" s="306">
        <v>20</v>
      </c>
      <c r="N64" s="306">
        <v>20</v>
      </c>
    </row>
    <row r="65" spans="1:28" ht="40.9" customHeight="1">
      <c r="A65" s="303" t="s">
        <v>180</v>
      </c>
      <c r="B65" s="307" t="s">
        <v>865</v>
      </c>
      <c r="C65" s="306">
        <f t="shared" si="19"/>
        <v>300</v>
      </c>
      <c r="D65" s="306"/>
      <c r="E65" s="306"/>
      <c r="F65" s="306"/>
      <c r="G65" s="306"/>
      <c r="H65" s="306">
        <v>300</v>
      </c>
      <c r="I65" s="306"/>
      <c r="J65" s="306"/>
      <c r="K65" s="306"/>
      <c r="L65" s="306"/>
      <c r="M65" s="306"/>
      <c r="N65" s="306"/>
    </row>
    <row r="66" spans="1:28" ht="39" customHeight="1">
      <c r="A66" s="303" t="s">
        <v>180</v>
      </c>
      <c r="B66" s="307" t="s">
        <v>818</v>
      </c>
      <c r="C66" s="306">
        <f>SUM(D66:N66)</f>
        <v>372</v>
      </c>
      <c r="D66" s="306"/>
      <c r="E66" s="306"/>
      <c r="F66" s="306">
        <v>244</v>
      </c>
      <c r="G66" s="306">
        <f>32*4</f>
        <v>128</v>
      </c>
      <c r="H66" s="306"/>
      <c r="I66" s="306"/>
      <c r="J66" s="306"/>
      <c r="K66" s="306"/>
      <c r="L66" s="306"/>
      <c r="M66" s="306"/>
      <c r="N66" s="306"/>
      <c r="AB66" s="541">
        <f>2440/40</f>
        <v>61</v>
      </c>
    </row>
    <row r="67" spans="1:28" ht="39" customHeight="1">
      <c r="A67" s="303" t="s">
        <v>180</v>
      </c>
      <c r="B67" s="307" t="s">
        <v>819</v>
      </c>
      <c r="C67" s="306">
        <f t="shared" ref="C67" si="20">SUM(D67:N67)</f>
        <v>12</v>
      </c>
      <c r="D67" s="306"/>
      <c r="E67" s="306"/>
      <c r="F67" s="306"/>
      <c r="G67" s="306">
        <v>12</v>
      </c>
      <c r="H67" s="306"/>
      <c r="I67" s="306"/>
      <c r="J67" s="306"/>
      <c r="K67" s="306"/>
      <c r="L67" s="306"/>
      <c r="M67" s="306"/>
      <c r="N67" s="306"/>
    </row>
    <row r="68" spans="1:28" ht="25.5" customHeight="1">
      <c r="A68" s="303">
        <v>20</v>
      </c>
      <c r="B68" s="307" t="s">
        <v>687</v>
      </c>
      <c r="C68" s="306">
        <f t="shared" si="18"/>
        <v>220</v>
      </c>
      <c r="D68" s="306">
        <v>20</v>
      </c>
      <c r="E68" s="306">
        <v>20</v>
      </c>
      <c r="F68" s="306">
        <v>20</v>
      </c>
      <c r="G68" s="306">
        <v>20</v>
      </c>
      <c r="H68" s="306">
        <v>20</v>
      </c>
      <c r="I68" s="306">
        <v>20</v>
      </c>
      <c r="J68" s="306">
        <v>20</v>
      </c>
      <c r="K68" s="306">
        <v>20</v>
      </c>
      <c r="L68" s="306">
        <v>20</v>
      </c>
      <c r="M68" s="306">
        <v>20</v>
      </c>
      <c r="N68" s="306">
        <v>20</v>
      </c>
    </row>
    <row r="69" spans="1:28" ht="25.5" customHeight="1">
      <c r="A69" s="303">
        <v>21</v>
      </c>
      <c r="B69" s="307" t="s">
        <v>686</v>
      </c>
      <c r="C69" s="306">
        <f t="shared" si="18"/>
        <v>220</v>
      </c>
      <c r="D69" s="306">
        <v>20</v>
      </c>
      <c r="E69" s="306">
        <v>20</v>
      </c>
      <c r="F69" s="306">
        <v>20</v>
      </c>
      <c r="G69" s="306">
        <v>20</v>
      </c>
      <c r="H69" s="306">
        <v>20</v>
      </c>
      <c r="I69" s="306">
        <v>20</v>
      </c>
      <c r="J69" s="306">
        <v>20</v>
      </c>
      <c r="K69" s="306">
        <v>20</v>
      </c>
      <c r="L69" s="306">
        <v>20</v>
      </c>
      <c r="M69" s="306">
        <v>20</v>
      </c>
      <c r="N69" s="306">
        <v>20</v>
      </c>
    </row>
    <row r="70" spans="1:28" ht="39.75" hidden="1" customHeight="1">
      <c r="A70" s="303">
        <v>22</v>
      </c>
      <c r="B70" s="307" t="s">
        <v>685</v>
      </c>
      <c r="C70" s="306">
        <f t="shared" si="18"/>
        <v>0</v>
      </c>
      <c r="D70" s="306"/>
      <c r="E70" s="306"/>
      <c r="F70" s="306"/>
      <c r="G70" s="306"/>
      <c r="H70" s="306"/>
      <c r="I70" s="306"/>
      <c r="J70" s="306"/>
      <c r="K70" s="306"/>
      <c r="L70" s="306"/>
      <c r="M70" s="306"/>
      <c r="N70" s="306"/>
    </row>
    <row r="71" spans="1:28" ht="34.5" customHeight="1">
      <c r="A71" s="303">
        <v>22</v>
      </c>
      <c r="B71" s="292" t="s">
        <v>770</v>
      </c>
      <c r="C71" s="306">
        <f>SUM(D71:N71)</f>
        <v>140</v>
      </c>
      <c r="D71" s="306">
        <v>20</v>
      </c>
      <c r="E71" s="306"/>
      <c r="F71" s="306">
        <v>30</v>
      </c>
      <c r="G71" s="306">
        <v>30</v>
      </c>
      <c r="H71" s="306"/>
      <c r="I71" s="306">
        <v>30</v>
      </c>
      <c r="J71" s="306">
        <v>30</v>
      </c>
      <c r="K71" s="306"/>
      <c r="L71" s="306"/>
      <c r="M71" s="306"/>
      <c r="N71" s="306"/>
    </row>
    <row r="72" spans="1:28" ht="28.5" customHeight="1">
      <c r="A72" s="303">
        <v>23</v>
      </c>
      <c r="B72" s="292" t="s">
        <v>707</v>
      </c>
      <c r="C72" s="306">
        <f t="shared" si="18"/>
        <v>330</v>
      </c>
      <c r="D72" s="306">
        <v>30</v>
      </c>
      <c r="E72" s="306">
        <v>30</v>
      </c>
      <c r="F72" s="306">
        <v>30</v>
      </c>
      <c r="G72" s="306">
        <v>30</v>
      </c>
      <c r="H72" s="306">
        <v>30</v>
      </c>
      <c r="I72" s="306">
        <v>30</v>
      </c>
      <c r="J72" s="306">
        <v>30</v>
      </c>
      <c r="K72" s="306">
        <v>30</v>
      </c>
      <c r="L72" s="306">
        <v>30</v>
      </c>
      <c r="M72" s="306">
        <v>30</v>
      </c>
      <c r="N72" s="306">
        <v>30</v>
      </c>
    </row>
    <row r="73" spans="1:28" ht="43.25" customHeight="1">
      <c r="A73" s="303">
        <v>24</v>
      </c>
      <c r="B73" s="292" t="s">
        <v>684</v>
      </c>
      <c r="C73" s="306">
        <f t="shared" ref="C73:C76" si="21">SUM(D73:N73)</f>
        <v>114</v>
      </c>
      <c r="D73" s="306">
        <v>10</v>
      </c>
      <c r="E73" s="306">
        <v>10</v>
      </c>
      <c r="F73" s="306">
        <v>12</v>
      </c>
      <c r="G73" s="306">
        <v>12</v>
      </c>
      <c r="H73" s="306">
        <v>10</v>
      </c>
      <c r="I73" s="306">
        <v>10</v>
      </c>
      <c r="J73" s="306">
        <v>10</v>
      </c>
      <c r="K73" s="306">
        <v>10</v>
      </c>
      <c r="L73" s="306">
        <v>10</v>
      </c>
      <c r="M73" s="306">
        <v>10</v>
      </c>
      <c r="N73" s="306">
        <v>10</v>
      </c>
    </row>
    <row r="74" spans="1:28" ht="36.75" customHeight="1">
      <c r="A74" s="303">
        <v>25</v>
      </c>
      <c r="B74" s="292" t="s">
        <v>20</v>
      </c>
      <c r="C74" s="306">
        <f t="shared" si="21"/>
        <v>220</v>
      </c>
      <c r="D74" s="306">
        <v>20</v>
      </c>
      <c r="E74" s="306">
        <v>20</v>
      </c>
      <c r="F74" s="306">
        <v>20</v>
      </c>
      <c r="G74" s="306">
        <v>20</v>
      </c>
      <c r="H74" s="306">
        <v>20</v>
      </c>
      <c r="I74" s="306">
        <v>20</v>
      </c>
      <c r="J74" s="306">
        <v>20</v>
      </c>
      <c r="K74" s="306">
        <v>20</v>
      </c>
      <c r="L74" s="306">
        <v>20</v>
      </c>
      <c r="M74" s="306">
        <v>20</v>
      </c>
      <c r="N74" s="306">
        <v>20</v>
      </c>
    </row>
    <row r="75" spans="1:28" ht="36.75" customHeight="1">
      <c r="A75" s="303">
        <v>26</v>
      </c>
      <c r="B75" s="292" t="s">
        <v>579</v>
      </c>
      <c r="C75" s="306">
        <f t="shared" si="21"/>
        <v>165</v>
      </c>
      <c r="D75" s="306">
        <v>15</v>
      </c>
      <c r="E75" s="306">
        <v>15</v>
      </c>
      <c r="F75" s="306">
        <v>15</v>
      </c>
      <c r="G75" s="306">
        <v>15</v>
      </c>
      <c r="H75" s="306">
        <v>15</v>
      </c>
      <c r="I75" s="306">
        <v>15</v>
      </c>
      <c r="J75" s="306">
        <v>15</v>
      </c>
      <c r="K75" s="306">
        <v>15</v>
      </c>
      <c r="L75" s="306">
        <v>15</v>
      </c>
      <c r="M75" s="306">
        <v>15</v>
      </c>
      <c r="N75" s="306">
        <v>15</v>
      </c>
    </row>
    <row r="76" spans="1:28" ht="25.5" customHeight="1">
      <c r="A76" s="303">
        <v>27</v>
      </c>
      <c r="B76" s="292" t="s">
        <v>683</v>
      </c>
      <c r="C76" s="306">
        <f t="shared" si="21"/>
        <v>110</v>
      </c>
      <c r="D76" s="306">
        <v>10</v>
      </c>
      <c r="E76" s="306">
        <v>10</v>
      </c>
      <c r="F76" s="306">
        <v>10</v>
      </c>
      <c r="G76" s="306">
        <v>10</v>
      </c>
      <c r="H76" s="306">
        <v>10</v>
      </c>
      <c r="I76" s="306">
        <v>10</v>
      </c>
      <c r="J76" s="306">
        <v>10</v>
      </c>
      <c r="K76" s="306">
        <v>10</v>
      </c>
      <c r="L76" s="306">
        <v>10</v>
      </c>
      <c r="M76" s="306">
        <v>10</v>
      </c>
      <c r="N76" s="306">
        <v>10</v>
      </c>
    </row>
    <row r="77" spans="1:28" ht="25.5" customHeight="1">
      <c r="A77" s="303">
        <v>28</v>
      </c>
      <c r="B77" s="292" t="s">
        <v>850</v>
      </c>
      <c r="C77" s="306">
        <f t="shared" ref="C77:C84" si="22">SUM(D77:N77)</f>
        <v>4591.0599999999995</v>
      </c>
      <c r="D77" s="306">
        <v>572.29999999999995</v>
      </c>
      <c r="E77" s="306">
        <f>547.33-200</f>
        <v>347.33000000000004</v>
      </c>
      <c r="F77" s="306">
        <v>516.09</v>
      </c>
      <c r="G77" s="306">
        <v>471.64</v>
      </c>
      <c r="H77" s="306"/>
      <c r="I77" s="306">
        <v>512.83000000000004</v>
      </c>
      <c r="J77" s="306">
        <v>496.95</v>
      </c>
      <c r="K77" s="306">
        <f>494.68-200</f>
        <v>294.68</v>
      </c>
      <c r="L77" s="306">
        <v>493.03</v>
      </c>
      <c r="M77" s="306">
        <v>584.32000000000005</v>
      </c>
      <c r="N77" s="306">
        <f>501.89-200</f>
        <v>301.89</v>
      </c>
      <c r="O77" s="291" t="s">
        <v>866</v>
      </c>
    </row>
    <row r="78" spans="1:28" ht="25.5" customHeight="1">
      <c r="A78" s="303">
        <v>29</v>
      </c>
      <c r="B78" s="292" t="s">
        <v>857</v>
      </c>
      <c r="C78" s="306">
        <f t="shared" si="22"/>
        <v>100</v>
      </c>
      <c r="D78" s="306"/>
      <c r="E78" s="306"/>
      <c r="F78" s="306"/>
      <c r="G78" s="306">
        <v>50</v>
      </c>
      <c r="H78" s="306"/>
      <c r="I78" s="306"/>
      <c r="J78" s="306"/>
      <c r="K78" s="306"/>
      <c r="L78" s="306"/>
      <c r="M78" s="306"/>
      <c r="N78" s="306">
        <v>50</v>
      </c>
    </row>
    <row r="79" spans="1:28" ht="34.25" customHeight="1">
      <c r="A79" s="303">
        <v>30</v>
      </c>
      <c r="B79" s="292" t="s">
        <v>746</v>
      </c>
      <c r="C79" s="306">
        <f t="shared" si="22"/>
        <v>205.19999999999993</v>
      </c>
      <c r="D79" s="306">
        <f>6*0.285*12</f>
        <v>20.52</v>
      </c>
      <c r="E79" s="306">
        <f>9*0.285*12</f>
        <v>30.78</v>
      </c>
      <c r="F79" s="306">
        <f>6*0.285*12</f>
        <v>20.52</v>
      </c>
      <c r="G79" s="306">
        <f>10*0.285*12</f>
        <v>34.199999999999996</v>
      </c>
      <c r="H79" s="306">
        <f>9*0.285*12</f>
        <v>30.78</v>
      </c>
      <c r="I79" s="306">
        <f>3*0.285*12</f>
        <v>10.26</v>
      </c>
      <c r="J79" s="306">
        <f>3*0.285*12</f>
        <v>10.26</v>
      </c>
      <c r="K79" s="306">
        <f>5*0.285*12</f>
        <v>17.099999999999998</v>
      </c>
      <c r="L79" s="306">
        <f>3*0.285*12</f>
        <v>10.26</v>
      </c>
      <c r="M79" s="306">
        <f>3*0.285*12</f>
        <v>10.26</v>
      </c>
      <c r="N79" s="306">
        <f>3*0.285*12</f>
        <v>10.26</v>
      </c>
    </row>
    <row r="80" spans="1:28" ht="25.5" customHeight="1">
      <c r="A80" s="318" t="s">
        <v>88</v>
      </c>
      <c r="B80" s="319" t="s">
        <v>181</v>
      </c>
      <c r="C80" s="488">
        <f t="shared" si="22"/>
        <v>1775.6999999999998</v>
      </c>
      <c r="D80" s="320">
        <v>152.69999999999999</v>
      </c>
      <c r="E80" s="320">
        <v>159.5</v>
      </c>
      <c r="F80" s="320">
        <v>177.5</v>
      </c>
      <c r="G80" s="320">
        <v>192.8</v>
      </c>
      <c r="H80" s="320">
        <v>172</v>
      </c>
      <c r="I80" s="320">
        <v>152.30000000000001</v>
      </c>
      <c r="J80" s="320">
        <v>153.6</v>
      </c>
      <c r="K80" s="320">
        <v>157.19999999999999</v>
      </c>
      <c r="L80" s="320">
        <v>138.80000000000001</v>
      </c>
      <c r="M80" s="320">
        <v>155.6</v>
      </c>
      <c r="N80" s="320">
        <v>163.69999999999999</v>
      </c>
    </row>
    <row r="81" spans="1:14" ht="25.5" customHeight="1">
      <c r="A81" s="318" t="s">
        <v>89</v>
      </c>
      <c r="B81" s="319" t="s">
        <v>227</v>
      </c>
      <c r="C81" s="320">
        <f>SUM(D81:N81)</f>
        <v>6469.0000000000009</v>
      </c>
      <c r="D81" s="320">
        <f>SUM(D82:D85)</f>
        <v>474.32600000000002</v>
      </c>
      <c r="E81" s="320">
        <f>SUM(E82:E85)</f>
        <v>615.58899999999994</v>
      </c>
      <c r="F81" s="320">
        <f t="shared" ref="F81:N81" si="23">SUM(F82:F85)</f>
        <v>686.08799999999997</v>
      </c>
      <c r="G81" s="320">
        <f t="shared" si="23"/>
        <v>827.08499999999992</v>
      </c>
      <c r="H81" s="320">
        <f t="shared" si="23"/>
        <v>615.58899999999994</v>
      </c>
      <c r="I81" s="320">
        <f t="shared" si="23"/>
        <v>545.09</v>
      </c>
      <c r="J81" s="320">
        <f t="shared" si="23"/>
        <v>263.09500000000003</v>
      </c>
      <c r="K81" s="320">
        <f t="shared" si="23"/>
        <v>1018.364</v>
      </c>
      <c r="L81" s="320">
        <f t="shared" si="23"/>
        <v>333.59399999999999</v>
      </c>
      <c r="M81" s="320">
        <f t="shared" si="23"/>
        <v>474.59100000000001</v>
      </c>
      <c r="N81" s="320">
        <f t="shared" si="23"/>
        <v>615.58899999999994</v>
      </c>
    </row>
    <row r="82" spans="1:14" ht="36" customHeight="1">
      <c r="A82" s="524">
        <v>1</v>
      </c>
      <c r="B82" s="292" t="s">
        <v>832</v>
      </c>
      <c r="C82" s="306">
        <f>SUM(D82:N82)</f>
        <v>4594.9999999999991</v>
      </c>
      <c r="D82" s="306">
        <v>373.96800000000002</v>
      </c>
      <c r="E82" s="306">
        <v>480.81599999999997</v>
      </c>
      <c r="F82" s="306">
        <v>534.24</v>
      </c>
      <c r="G82" s="306">
        <v>641.08799999999997</v>
      </c>
      <c r="H82" s="306">
        <v>480.81599999999997</v>
      </c>
      <c r="I82" s="306">
        <v>427.392</v>
      </c>
      <c r="J82" s="306">
        <v>213.696</v>
      </c>
      <c r="K82" s="306">
        <v>321.08</v>
      </c>
      <c r="L82" s="306">
        <v>267.12</v>
      </c>
      <c r="M82" s="306">
        <v>373.96800000000002</v>
      </c>
      <c r="N82" s="306">
        <v>480.81599999999997</v>
      </c>
    </row>
    <row r="83" spans="1:14" ht="36.85" customHeight="1">
      <c r="A83" s="524">
        <v>2</v>
      </c>
      <c r="B83" s="292" t="s">
        <v>816</v>
      </c>
      <c r="C83" s="306">
        <f t="shared" si="22"/>
        <v>1177.9999999999998</v>
      </c>
      <c r="D83" s="306">
        <v>98.35799999999999</v>
      </c>
      <c r="E83" s="306">
        <v>132.773</v>
      </c>
      <c r="F83" s="306">
        <v>149.84799999999998</v>
      </c>
      <c r="G83" s="306">
        <v>183.99699999999999</v>
      </c>
      <c r="H83" s="306">
        <v>132.773</v>
      </c>
      <c r="I83" s="306">
        <v>115.69800000000001</v>
      </c>
      <c r="J83" s="306">
        <v>47.399000000000008</v>
      </c>
      <c r="K83" s="306">
        <v>21.283999999999999</v>
      </c>
      <c r="L83" s="306">
        <v>64.47399999999999</v>
      </c>
      <c r="M83" s="306">
        <v>98.62299999999999</v>
      </c>
      <c r="N83" s="306">
        <v>132.773</v>
      </c>
    </row>
    <row r="84" spans="1:14" ht="40.5" customHeight="1">
      <c r="A84" s="524">
        <v>3</v>
      </c>
      <c r="B84" s="292" t="s">
        <v>753</v>
      </c>
      <c r="C84" s="306">
        <f t="shared" si="22"/>
        <v>22</v>
      </c>
      <c r="D84" s="306">
        <v>2</v>
      </c>
      <c r="E84" s="306">
        <v>2</v>
      </c>
      <c r="F84" s="306">
        <v>2</v>
      </c>
      <c r="G84" s="306">
        <v>2</v>
      </c>
      <c r="H84" s="306">
        <v>2</v>
      </c>
      <c r="I84" s="306">
        <v>2</v>
      </c>
      <c r="J84" s="306">
        <v>2</v>
      </c>
      <c r="K84" s="306">
        <v>2</v>
      </c>
      <c r="L84" s="306">
        <v>2</v>
      </c>
      <c r="M84" s="306">
        <v>2</v>
      </c>
      <c r="N84" s="306">
        <v>2</v>
      </c>
    </row>
    <row r="85" spans="1:14" ht="54.4" customHeight="1">
      <c r="A85" s="524">
        <v>4</v>
      </c>
      <c r="B85" s="292" t="s">
        <v>791</v>
      </c>
      <c r="C85" s="306">
        <f>SUM(D85:N85)</f>
        <v>674</v>
      </c>
      <c r="D85" s="306"/>
      <c r="E85" s="306"/>
      <c r="F85" s="306"/>
      <c r="G85" s="306"/>
      <c r="H85" s="306"/>
      <c r="I85" s="306"/>
      <c r="J85" s="306"/>
      <c r="K85" s="306">
        <v>674</v>
      </c>
      <c r="L85" s="306"/>
      <c r="M85" s="306"/>
      <c r="N85" s="306"/>
    </row>
    <row r="86" spans="1:14" s="355" customFormat="1" ht="26.35" customHeight="1">
      <c r="A86" s="515" t="s">
        <v>109</v>
      </c>
      <c r="B86" s="288" t="s">
        <v>582</v>
      </c>
      <c r="C86" s="320">
        <f>C87</f>
        <v>1133</v>
      </c>
      <c r="D86" s="320">
        <f t="shared" ref="D86" si="24">D87</f>
        <v>75.239999999999995</v>
      </c>
      <c r="E86" s="320">
        <f t="shared" ref="E86" si="25">E87</f>
        <v>130.63800000000001</v>
      </c>
      <c r="F86" s="320">
        <f t="shared" ref="F86" si="26">F87</f>
        <v>119.41</v>
      </c>
      <c r="G86" s="320">
        <f t="shared" ref="G86" si="27">G87</f>
        <v>104.19800000000001</v>
      </c>
      <c r="H86" s="320">
        <f t="shared" ref="H86" si="28">H87</f>
        <v>69.42</v>
      </c>
      <c r="I86" s="320">
        <f t="shared" ref="I86" si="29">I87</f>
        <v>48.352999999999994</v>
      </c>
      <c r="J86" s="320">
        <f t="shared" ref="J86" si="30">J87</f>
        <v>97.463000000000008</v>
      </c>
      <c r="K86" s="320">
        <f t="shared" ref="K86" si="31">K87</f>
        <v>97.123000000000005</v>
      </c>
      <c r="L86" s="320">
        <f t="shared" ref="L86" si="32">L87</f>
        <v>60.14</v>
      </c>
      <c r="M86" s="320">
        <f t="shared" ref="M86" si="33">M87</f>
        <v>229.523</v>
      </c>
      <c r="N86" s="320">
        <f t="shared" ref="N86" si="34">N87</f>
        <v>101.492</v>
      </c>
    </row>
    <row r="87" spans="1:14" ht="26.35" customHeight="1">
      <c r="A87" s="524">
        <v>1</v>
      </c>
      <c r="B87" s="292" t="s">
        <v>814</v>
      </c>
      <c r="C87" s="306">
        <f>SUM(D87:N87)</f>
        <v>1133</v>
      </c>
      <c r="D87" s="306">
        <v>75.239999999999995</v>
      </c>
      <c r="E87" s="306">
        <v>130.63800000000001</v>
      </c>
      <c r="F87" s="306">
        <v>119.41</v>
      </c>
      <c r="G87" s="306">
        <v>104.19800000000001</v>
      </c>
      <c r="H87" s="306">
        <v>69.42</v>
      </c>
      <c r="I87" s="306">
        <v>48.352999999999994</v>
      </c>
      <c r="J87" s="306">
        <v>97.463000000000008</v>
      </c>
      <c r="K87" s="306">
        <v>97.123000000000005</v>
      </c>
      <c r="L87" s="306">
        <v>60.14</v>
      </c>
      <c r="M87" s="306">
        <v>229.523</v>
      </c>
      <c r="N87" s="525">
        <v>101.492</v>
      </c>
    </row>
    <row r="88" spans="1:14" ht="20.350000000000001" customHeight="1">
      <c r="A88" s="649" t="s">
        <v>270</v>
      </c>
      <c r="B88" s="649"/>
      <c r="C88" s="320">
        <f>SUM(D88:N88)</f>
        <v>96354.342999999993</v>
      </c>
      <c r="D88" s="320">
        <f t="shared" ref="D88:N88" si="35">D6+D81+D86</f>
        <v>8181.7320000000009</v>
      </c>
      <c r="E88" s="320">
        <f t="shared" si="35"/>
        <v>8719.2149999999983</v>
      </c>
      <c r="F88" s="320">
        <f t="shared" si="35"/>
        <v>9676.5130000000008</v>
      </c>
      <c r="G88" s="320">
        <f t="shared" si="35"/>
        <v>10565.794999999996</v>
      </c>
      <c r="H88" s="320">
        <f t="shared" si="35"/>
        <v>9285.0779999999995</v>
      </c>
      <c r="I88" s="320">
        <f t="shared" si="35"/>
        <v>8206.3369999999995</v>
      </c>
      <c r="J88" s="320">
        <f t="shared" si="35"/>
        <v>8035.58</v>
      </c>
      <c r="K88" s="320">
        <f t="shared" si="35"/>
        <v>8971.4169999999995</v>
      </c>
      <c r="L88" s="320">
        <f t="shared" si="35"/>
        <v>7331.1409999999996</v>
      </c>
      <c r="M88" s="320">
        <f t="shared" si="35"/>
        <v>8482.8809999999994</v>
      </c>
      <c r="N88" s="320">
        <f t="shared" si="35"/>
        <v>8898.6540000000005</v>
      </c>
    </row>
    <row r="89" spans="1:14">
      <c r="C89" s="511"/>
    </row>
    <row r="90" spans="1:14">
      <c r="C90" s="510"/>
    </row>
    <row r="92" spans="1:14">
      <c r="C92" s="511"/>
    </row>
    <row r="93" spans="1:14">
      <c r="C93" s="510"/>
    </row>
  </sheetData>
  <mergeCells count="6">
    <mergeCell ref="A88:B88"/>
    <mergeCell ref="L1:N1"/>
    <mergeCell ref="M4:N4"/>
    <mergeCell ref="A2:N2"/>
    <mergeCell ref="A3:N3"/>
    <mergeCell ref="A1:B1"/>
  </mergeCells>
  <phoneticPr fontId="20" type="noConversion"/>
  <pageMargins left="0.45" right="0.3" top="0.52" bottom="0.28999999999999998" header="0.43307086614173201" footer="0.28999999999999998"/>
  <pageSetup paperSize="9" scale="62" orientation="landscape"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G45"/>
  <sheetViews>
    <sheetView topLeftCell="A6" workbookViewId="0">
      <selection activeCell="B57" sqref="B57"/>
    </sheetView>
  </sheetViews>
  <sheetFormatPr defaultColWidth="8.89453125" defaultRowHeight="15"/>
  <cols>
    <col min="1" max="1" width="5.41796875" style="444" customWidth="1"/>
    <col min="2" max="2" width="48.7890625" style="422" customWidth="1"/>
    <col min="3" max="3" width="11.89453125" style="422" customWidth="1"/>
    <col min="4" max="4" width="11.1015625" style="422" customWidth="1"/>
    <col min="5" max="5" width="19.68359375" style="422" customWidth="1"/>
    <col min="6" max="6" width="10.47265625" style="422" customWidth="1"/>
    <col min="7" max="16384" width="8.89453125" style="422"/>
  </cols>
  <sheetData>
    <row r="1" spans="1:6">
      <c r="A1" s="659" t="s">
        <v>84</v>
      </c>
      <c r="B1" s="659"/>
      <c r="C1" s="660" t="s">
        <v>283</v>
      </c>
      <c r="D1" s="660"/>
      <c r="E1" s="660"/>
    </row>
    <row r="2" spans="1:6">
      <c r="A2" s="423"/>
      <c r="B2" s="424"/>
      <c r="C2" s="661"/>
      <c r="D2" s="661"/>
      <c r="E2" s="425"/>
    </row>
    <row r="3" spans="1:6" ht="27.75" customHeight="1">
      <c r="A3" s="662" t="s">
        <v>805</v>
      </c>
      <c r="B3" s="662"/>
      <c r="C3" s="662"/>
      <c r="D3" s="662"/>
      <c r="E3" s="662"/>
    </row>
    <row r="4" spans="1:6" ht="27" customHeight="1">
      <c r="A4" s="663" t="str">
        <f>'Cân đối thu chi'!A3:I3</f>
        <v>(Kèm theo Nghị quyết số .../NQ-HĐND ngày ... tháng ... năm 2024 của HĐND huyện Tu Mơ Rông)</v>
      </c>
      <c r="B4" s="663"/>
      <c r="C4" s="663"/>
      <c r="D4" s="663"/>
      <c r="E4" s="663"/>
    </row>
    <row r="5" spans="1:6" ht="24.75" hidden="1" customHeight="1">
      <c r="A5" s="664" t="e">
        <f>'[1]DT chi cân đối NS huyện'!#REF!</f>
        <v>#REF!</v>
      </c>
      <c r="B5" s="664"/>
      <c r="C5" s="664"/>
      <c r="D5" s="664"/>
      <c r="E5" s="426"/>
    </row>
    <row r="6" spans="1:6" ht="23.25" customHeight="1">
      <c r="A6" s="427"/>
      <c r="B6" s="428"/>
      <c r="C6" s="658" t="s">
        <v>709</v>
      </c>
      <c r="D6" s="658"/>
      <c r="E6" s="658"/>
    </row>
    <row r="7" spans="1:6" ht="35.25" customHeight="1">
      <c r="A7" s="429" t="s">
        <v>66</v>
      </c>
      <c r="B7" s="429" t="s">
        <v>113</v>
      </c>
      <c r="C7" s="429" t="s">
        <v>60</v>
      </c>
      <c r="D7" s="429" t="s">
        <v>61</v>
      </c>
      <c r="E7" s="430" t="s">
        <v>14</v>
      </c>
    </row>
    <row r="8" spans="1:6" s="432" customFormat="1" ht="15.4">
      <c r="A8" s="431">
        <v>1</v>
      </c>
      <c r="B8" s="431">
        <v>2</v>
      </c>
      <c r="C8" s="431">
        <v>3</v>
      </c>
      <c r="D8" s="431">
        <v>4</v>
      </c>
      <c r="E8" s="431">
        <v>5</v>
      </c>
    </row>
    <row r="9" spans="1:6" s="432" customFormat="1" ht="15.4">
      <c r="A9" s="431"/>
      <c r="B9" s="430" t="s">
        <v>351</v>
      </c>
      <c r="C9" s="485">
        <f>C10+C35</f>
        <v>70329</v>
      </c>
      <c r="D9" s="485">
        <f>D10+D35</f>
        <v>70329</v>
      </c>
      <c r="E9" s="431"/>
    </row>
    <row r="10" spans="1:6" ht="24" customHeight="1">
      <c r="A10" s="430" t="s">
        <v>85</v>
      </c>
      <c r="B10" s="433" t="s">
        <v>227</v>
      </c>
      <c r="C10" s="486">
        <f>C11+C16</f>
        <v>51194</v>
      </c>
      <c r="D10" s="486">
        <f>D11+D16</f>
        <v>51194</v>
      </c>
      <c r="E10" s="434"/>
    </row>
    <row r="11" spans="1:6" ht="24" customHeight="1">
      <c r="A11" s="430" t="s">
        <v>86</v>
      </c>
      <c r="B11" s="433" t="s">
        <v>777</v>
      </c>
      <c r="C11" s="483">
        <f>C12+C14+C15</f>
        <v>9170</v>
      </c>
      <c r="D11" s="483">
        <f>C11</f>
        <v>9170</v>
      </c>
      <c r="E11" s="434"/>
      <c r="F11" s="487"/>
    </row>
    <row r="12" spans="1:6" ht="24" customHeight="1">
      <c r="A12" s="430">
        <v>1</v>
      </c>
      <c r="B12" s="4" t="s">
        <v>291</v>
      </c>
      <c r="C12" s="483">
        <f>SUM(C13:C13)</f>
        <v>2870</v>
      </c>
      <c r="D12" s="483">
        <f>D13</f>
        <v>2870</v>
      </c>
      <c r="E12" s="655" t="s">
        <v>357</v>
      </c>
      <c r="F12" s="487"/>
    </row>
    <row r="13" spans="1:6" s="437" customFormat="1" ht="24" customHeight="1">
      <c r="A13" s="435" t="s">
        <v>102</v>
      </c>
      <c r="B13" s="436" t="s">
        <v>350</v>
      </c>
      <c r="C13" s="542">
        <v>2870</v>
      </c>
      <c r="D13" s="290">
        <v>2870</v>
      </c>
      <c r="E13" s="656"/>
    </row>
    <row r="14" spans="1:6" ht="75" customHeight="1">
      <c r="A14" s="435">
        <v>2</v>
      </c>
      <c r="B14" s="436" t="s">
        <v>775</v>
      </c>
      <c r="C14" s="542">
        <v>1500</v>
      </c>
      <c r="D14" s="290">
        <v>1500</v>
      </c>
      <c r="E14" s="656"/>
    </row>
    <row r="15" spans="1:6" ht="30.4" customHeight="1">
      <c r="A15" s="435">
        <v>3</v>
      </c>
      <c r="B15" s="436" t="s">
        <v>776</v>
      </c>
      <c r="C15" s="542">
        <v>4800</v>
      </c>
      <c r="D15" s="290">
        <v>4800</v>
      </c>
      <c r="E15" s="657"/>
    </row>
    <row r="16" spans="1:6" ht="23.25" customHeight="1">
      <c r="A16" s="430" t="s">
        <v>87</v>
      </c>
      <c r="B16" s="433" t="s">
        <v>292</v>
      </c>
      <c r="C16" s="483">
        <f>SUM(C21:C28)</f>
        <v>42024</v>
      </c>
      <c r="D16" s="483">
        <f>SUM(D21:D28)</f>
        <v>42024</v>
      </c>
      <c r="E16" s="434"/>
    </row>
    <row r="17" spans="1:5" ht="65.25" hidden="1" customHeight="1">
      <c r="A17" s="438"/>
      <c r="B17" s="439"/>
      <c r="C17" s="484"/>
      <c r="D17" s="446"/>
      <c r="E17" s="440"/>
    </row>
    <row r="18" spans="1:5" ht="61.5" hidden="1" customHeight="1">
      <c r="A18" s="438"/>
      <c r="B18" s="439"/>
      <c r="C18" s="484"/>
      <c r="D18" s="446"/>
      <c r="E18" s="440"/>
    </row>
    <row r="19" spans="1:5" ht="57.75" hidden="1" customHeight="1">
      <c r="A19" s="438"/>
      <c r="B19" s="439"/>
      <c r="C19" s="484"/>
      <c r="D19" s="446"/>
      <c r="E19" s="440"/>
    </row>
    <row r="20" spans="1:5" ht="59.25" hidden="1" customHeight="1">
      <c r="A20" s="438"/>
      <c r="B20" s="439"/>
      <c r="C20" s="484"/>
      <c r="D20" s="446"/>
      <c r="E20" s="440"/>
    </row>
    <row r="21" spans="1:5" ht="47.25" customHeight="1">
      <c r="A21" s="438">
        <v>1</v>
      </c>
      <c r="B21" s="436" t="s">
        <v>791</v>
      </c>
      <c r="C21" s="484">
        <v>674</v>
      </c>
      <c r="D21" s="484">
        <v>674</v>
      </c>
      <c r="E21" s="440"/>
    </row>
    <row r="22" spans="1:5" ht="40.25" customHeight="1">
      <c r="A22" s="438">
        <v>2</v>
      </c>
      <c r="B22" s="436" t="s">
        <v>808</v>
      </c>
      <c r="C22" s="484">
        <v>1155</v>
      </c>
      <c r="D22" s="484">
        <v>1155</v>
      </c>
      <c r="E22" s="440"/>
    </row>
    <row r="23" spans="1:5" ht="47.25" customHeight="1">
      <c r="A23" s="438">
        <v>3</v>
      </c>
      <c r="B23" s="436" t="s">
        <v>754</v>
      </c>
      <c r="C23" s="484">
        <v>1178</v>
      </c>
      <c r="D23" s="484">
        <v>1178</v>
      </c>
      <c r="E23" s="440"/>
    </row>
    <row r="24" spans="1:5" ht="27.4" customHeight="1">
      <c r="A24" s="438">
        <v>4</v>
      </c>
      <c r="B24" s="436" t="s">
        <v>755</v>
      </c>
      <c r="C24" s="484">
        <v>100</v>
      </c>
      <c r="D24" s="484">
        <v>100</v>
      </c>
      <c r="E24" s="440"/>
    </row>
    <row r="25" spans="1:5" ht="47.25" customHeight="1">
      <c r="A25" s="438">
        <v>5</v>
      </c>
      <c r="B25" s="436" t="s">
        <v>756</v>
      </c>
      <c r="C25" s="484">
        <v>22</v>
      </c>
      <c r="D25" s="484">
        <v>22</v>
      </c>
      <c r="E25" s="440"/>
    </row>
    <row r="26" spans="1:5" ht="84.85" customHeight="1">
      <c r="A26" s="438">
        <v>6</v>
      </c>
      <c r="B26" s="436" t="s">
        <v>809</v>
      </c>
      <c r="C26" s="484">
        <v>1000</v>
      </c>
      <c r="D26" s="484">
        <v>1000</v>
      </c>
      <c r="E26" s="440"/>
    </row>
    <row r="27" spans="1:5" ht="44.35" customHeight="1">
      <c r="A27" s="438">
        <v>7</v>
      </c>
      <c r="B27" s="436" t="s">
        <v>810</v>
      </c>
      <c r="C27" s="484">
        <v>4595</v>
      </c>
      <c r="D27" s="484">
        <v>4595</v>
      </c>
      <c r="E27" s="440"/>
    </row>
    <row r="28" spans="1:5" ht="44.35" customHeight="1">
      <c r="A28" s="438">
        <v>8</v>
      </c>
      <c r="B28" s="436" t="s">
        <v>885</v>
      </c>
      <c r="C28" s="484">
        <v>33300</v>
      </c>
      <c r="D28" s="484">
        <v>33300</v>
      </c>
      <c r="E28" s="440"/>
    </row>
    <row r="29" spans="1:5" ht="44.35" customHeight="1">
      <c r="A29" s="438"/>
      <c r="B29" s="436" t="s">
        <v>878</v>
      </c>
      <c r="C29" s="484"/>
      <c r="D29" s="484"/>
      <c r="E29" s="440"/>
    </row>
    <row r="30" spans="1:5" ht="44.35" customHeight="1">
      <c r="A30" s="438" t="s">
        <v>102</v>
      </c>
      <c r="B30" s="436" t="s">
        <v>879</v>
      </c>
      <c r="C30" s="484">
        <v>20351</v>
      </c>
      <c r="D30" s="484">
        <v>20351</v>
      </c>
      <c r="E30" s="440"/>
    </row>
    <row r="31" spans="1:5" ht="44.35" customHeight="1">
      <c r="A31" s="438" t="s">
        <v>102</v>
      </c>
      <c r="B31" s="436" t="s">
        <v>880</v>
      </c>
      <c r="C31" s="484">
        <v>300</v>
      </c>
      <c r="D31" s="484">
        <v>300</v>
      </c>
      <c r="E31" s="440"/>
    </row>
    <row r="32" spans="1:5" ht="44.35" customHeight="1">
      <c r="A32" s="438" t="s">
        <v>102</v>
      </c>
      <c r="B32" s="436" t="s">
        <v>881</v>
      </c>
      <c r="C32" s="484">
        <v>11524</v>
      </c>
      <c r="D32" s="484">
        <v>11524</v>
      </c>
      <c r="E32" s="440"/>
    </row>
    <row r="33" spans="1:7" ht="44.35" customHeight="1">
      <c r="A33" s="438" t="s">
        <v>102</v>
      </c>
      <c r="B33" s="436" t="s">
        <v>882</v>
      </c>
      <c r="C33" s="484">
        <v>1182</v>
      </c>
      <c r="D33" s="484">
        <v>1182</v>
      </c>
      <c r="E33" s="440"/>
    </row>
    <row r="34" spans="1:7" ht="44.35" customHeight="1">
      <c r="A34" s="438" t="s">
        <v>102</v>
      </c>
      <c r="B34" s="436" t="s">
        <v>883</v>
      </c>
      <c r="C34" s="484">
        <v>243</v>
      </c>
      <c r="D34" s="484">
        <v>243</v>
      </c>
      <c r="E34" s="440"/>
    </row>
    <row r="35" spans="1:7" s="443" customFormat="1" ht="25.5" customHeight="1">
      <c r="A35" s="441" t="s">
        <v>89</v>
      </c>
      <c r="B35" s="442" t="s">
        <v>582</v>
      </c>
      <c r="C35" s="447">
        <f>C36+C37+C45</f>
        <v>19135</v>
      </c>
      <c r="D35" s="447">
        <f>D36+D37+D45</f>
        <v>19135</v>
      </c>
      <c r="E35" s="442"/>
    </row>
    <row r="36" spans="1:7" s="374" customFormat="1" ht="34.25" customHeight="1">
      <c r="A36" s="493" t="s">
        <v>86</v>
      </c>
      <c r="B36" s="5" t="s">
        <v>779</v>
      </c>
      <c r="C36" s="494">
        <v>150</v>
      </c>
      <c r="D36" s="494">
        <v>150</v>
      </c>
      <c r="E36" s="394"/>
    </row>
    <row r="37" spans="1:7" s="374" customFormat="1" ht="32.65" customHeight="1">
      <c r="A37" s="493" t="s">
        <v>87</v>
      </c>
      <c r="B37" s="5" t="s">
        <v>888</v>
      </c>
      <c r="C37" s="495">
        <f>SUM(C38:C43)</f>
        <v>17852</v>
      </c>
      <c r="D37" s="495">
        <f>SUM(D38:D43)</f>
        <v>17852</v>
      </c>
      <c r="E37" s="496"/>
    </row>
    <row r="38" spans="1:7" s="3" customFormat="1" ht="51.85" customHeight="1">
      <c r="A38" s="438">
        <v>1</v>
      </c>
      <c r="B38" s="436" t="s">
        <v>891</v>
      </c>
      <c r="C38" s="484">
        <v>35</v>
      </c>
      <c r="D38" s="484">
        <v>35</v>
      </c>
      <c r="E38" s="440"/>
      <c r="G38" s="491"/>
    </row>
    <row r="39" spans="1:7" s="3" customFormat="1" ht="51.85" customHeight="1">
      <c r="A39" s="438">
        <v>2</v>
      </c>
      <c r="B39" s="436" t="s">
        <v>892</v>
      </c>
      <c r="C39" s="484">
        <v>468</v>
      </c>
      <c r="D39" s="484">
        <v>468</v>
      </c>
      <c r="E39" s="440"/>
      <c r="G39" s="491"/>
    </row>
    <row r="40" spans="1:7" s="3" customFormat="1" ht="51.85" customHeight="1">
      <c r="A40" s="438">
        <v>3</v>
      </c>
      <c r="B40" s="436" t="s">
        <v>893</v>
      </c>
      <c r="C40" s="484">
        <v>13052</v>
      </c>
      <c r="D40" s="484">
        <v>13052</v>
      </c>
      <c r="E40" s="440"/>
      <c r="G40" s="491"/>
    </row>
    <row r="41" spans="1:7" s="3" customFormat="1" ht="72" customHeight="1">
      <c r="A41" s="438">
        <v>4</v>
      </c>
      <c r="B41" s="436" t="s">
        <v>894</v>
      </c>
      <c r="C41" s="484">
        <v>520</v>
      </c>
      <c r="D41" s="484">
        <v>520</v>
      </c>
      <c r="E41" s="440"/>
      <c r="G41" s="492"/>
    </row>
    <row r="42" spans="1:7" s="3" customFormat="1" ht="26.35" customHeight="1">
      <c r="A42" s="438">
        <v>5</v>
      </c>
      <c r="B42" s="436" t="s">
        <v>890</v>
      </c>
      <c r="C42" s="484">
        <v>7</v>
      </c>
      <c r="D42" s="484">
        <v>7</v>
      </c>
      <c r="E42" s="440"/>
    </row>
    <row r="43" spans="1:7" s="3" customFormat="1" ht="51.85" customHeight="1">
      <c r="A43" s="438">
        <v>6</v>
      </c>
      <c r="B43" s="436" t="s">
        <v>889</v>
      </c>
      <c r="C43" s="484">
        <f>4213+C44</f>
        <v>3770</v>
      </c>
      <c r="D43" s="484">
        <f>4213+D44</f>
        <v>3770</v>
      </c>
      <c r="E43" s="440"/>
    </row>
    <row r="44" spans="1:7" ht="25.25" hidden="1" customHeight="1">
      <c r="A44" s="438">
        <v>7</v>
      </c>
      <c r="B44" s="436" t="s">
        <v>813</v>
      </c>
      <c r="C44" s="484">
        <v>-443</v>
      </c>
      <c r="D44" s="484">
        <v>-443</v>
      </c>
      <c r="E44" s="440"/>
    </row>
    <row r="45" spans="1:7" s="437" customFormat="1" ht="41.75" customHeight="1">
      <c r="A45" s="512" t="s">
        <v>88</v>
      </c>
      <c r="B45" s="433" t="s">
        <v>815</v>
      </c>
      <c r="C45" s="513">
        <v>1133</v>
      </c>
      <c r="D45" s="513">
        <v>1133</v>
      </c>
      <c r="E45" s="514"/>
    </row>
  </sheetData>
  <mergeCells count="8">
    <mergeCell ref="E12:E15"/>
    <mergeCell ref="C6:E6"/>
    <mergeCell ref="A1:B1"/>
    <mergeCell ref="C1:E1"/>
    <mergeCell ref="C2:D2"/>
    <mergeCell ref="A3:E3"/>
    <mergeCell ref="A4:E4"/>
    <mergeCell ref="A5:D5"/>
  </mergeCells>
  <pageMargins left="0.59055118110236227" right="0.39370078740157483" top="0.74803149606299213" bottom="0.74803149606299213"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59"/>
  <sheetViews>
    <sheetView tabSelected="1" zoomScaleNormal="115" workbookViewId="0">
      <selection activeCell="B21" sqref="B21"/>
    </sheetView>
  </sheetViews>
  <sheetFormatPr defaultColWidth="8.89453125" defaultRowHeight="15.4"/>
  <cols>
    <col min="1" max="1" width="4.41796875" style="15" customWidth="1"/>
    <col min="2" max="2" width="45.7890625" style="3" customWidth="1"/>
    <col min="3" max="4" width="13.41796875" style="3" customWidth="1"/>
    <col min="5" max="5" width="13" style="3" customWidth="1"/>
    <col min="6" max="6" width="11.41796875" style="3" customWidth="1"/>
    <col min="7" max="16384" width="8.89453125" style="3"/>
  </cols>
  <sheetData>
    <row r="1" spans="1:6" ht="16.5" customHeight="1">
      <c r="A1" s="568" t="s">
        <v>84</v>
      </c>
      <c r="B1" s="568"/>
      <c r="C1" s="568"/>
      <c r="D1" s="1"/>
      <c r="E1" s="571" t="s">
        <v>278</v>
      </c>
      <c r="F1" s="571"/>
    </row>
    <row r="2" spans="1:6" ht="27" customHeight="1">
      <c r="A2" s="569" t="s">
        <v>801</v>
      </c>
      <c r="B2" s="569"/>
      <c r="C2" s="569"/>
      <c r="D2" s="569"/>
      <c r="E2" s="569"/>
      <c r="F2" s="569"/>
    </row>
    <row r="3" spans="1:6" ht="21" customHeight="1">
      <c r="A3" s="572" t="str">
        <f>'Cân đối thu chi'!A3:I3</f>
        <v>(Kèm theo Nghị quyết số .../NQ-HĐND ngày ... tháng ... năm 2024 của HĐND huyện Tu Mơ Rông)</v>
      </c>
      <c r="B3" s="572"/>
      <c r="C3" s="572"/>
      <c r="D3" s="572"/>
      <c r="E3" s="572"/>
      <c r="F3" s="572"/>
    </row>
    <row r="4" spans="1:6" ht="21" customHeight="1">
      <c r="A4" s="11"/>
      <c r="B4" s="2"/>
      <c r="C4" s="2"/>
      <c r="D4" s="2"/>
      <c r="E4" s="570" t="s">
        <v>709</v>
      </c>
      <c r="F4" s="570"/>
    </row>
    <row r="5" spans="1:6" ht="22.5" customHeight="1">
      <c r="A5" s="565" t="s">
        <v>68</v>
      </c>
      <c r="B5" s="566" t="s">
        <v>91</v>
      </c>
      <c r="C5" s="566" t="s">
        <v>92</v>
      </c>
      <c r="D5" s="567" t="s">
        <v>93</v>
      </c>
      <c r="E5" s="567"/>
      <c r="F5" s="567"/>
    </row>
    <row r="6" spans="1:6" ht="31.5" customHeight="1">
      <c r="A6" s="565"/>
      <c r="B6" s="566"/>
      <c r="C6" s="566"/>
      <c r="D6" s="384" t="s">
        <v>588</v>
      </c>
      <c r="E6" s="384" t="s">
        <v>94</v>
      </c>
      <c r="F6" s="384" t="s">
        <v>96</v>
      </c>
    </row>
    <row r="7" spans="1:6" s="10" customFormat="1" ht="24" customHeight="1">
      <c r="A7" s="12"/>
      <c r="B7" s="16" t="s">
        <v>230</v>
      </c>
      <c r="C7" s="289">
        <f>C8+C33</f>
        <v>504737</v>
      </c>
      <c r="D7" s="289">
        <f>D8+D33</f>
        <v>504737</v>
      </c>
      <c r="E7" s="289">
        <f>E8+E33</f>
        <v>408232.65700000006</v>
      </c>
      <c r="F7" s="289">
        <f>F8+F33</f>
        <v>96354.342999999993</v>
      </c>
    </row>
    <row r="8" spans="1:6" s="10" customFormat="1">
      <c r="A8" s="13" t="s">
        <v>85</v>
      </c>
      <c r="B8" s="8" t="s">
        <v>97</v>
      </c>
      <c r="C8" s="289">
        <f>C9+C14+C32</f>
        <v>434408</v>
      </c>
      <c r="D8" s="289">
        <f>D9+D14+D32</f>
        <v>434408</v>
      </c>
      <c r="E8" s="289">
        <f>E9+E14+E32</f>
        <v>345655.65700000006</v>
      </c>
      <c r="F8" s="289">
        <f>F9+F14+F32</f>
        <v>88752.342999999993</v>
      </c>
    </row>
    <row r="9" spans="1:6" s="10" customFormat="1">
      <c r="A9" s="13" t="s">
        <v>86</v>
      </c>
      <c r="B9" s="8" t="s">
        <v>194</v>
      </c>
      <c r="C9" s="289">
        <f>C10+C12</f>
        <v>7678</v>
      </c>
      <c r="D9" s="289">
        <f>D10+D12</f>
        <v>7678</v>
      </c>
      <c r="E9" s="289">
        <f>E10+E12</f>
        <v>7668</v>
      </c>
      <c r="F9" s="289">
        <f>F10+F12</f>
        <v>10</v>
      </c>
    </row>
    <row r="10" spans="1:6" s="10" customFormat="1">
      <c r="A10" s="13">
        <v>1</v>
      </c>
      <c r="B10" s="8" t="s">
        <v>98</v>
      </c>
      <c r="C10" s="289">
        <f>C11</f>
        <v>7590</v>
      </c>
      <c r="D10" s="289">
        <f t="shared" ref="D10:F10" si="0">D11</f>
        <v>7590</v>
      </c>
      <c r="E10" s="289">
        <f t="shared" si="0"/>
        <v>7590</v>
      </c>
      <c r="F10" s="289">
        <f t="shared" si="0"/>
        <v>0</v>
      </c>
    </row>
    <row r="11" spans="1:6" s="34" customFormat="1" ht="30.75">
      <c r="A11" s="14" t="s">
        <v>102</v>
      </c>
      <c r="B11" s="371" t="s">
        <v>747</v>
      </c>
      <c r="C11" s="290">
        <v>7590</v>
      </c>
      <c r="D11" s="290">
        <f>E11+F11</f>
        <v>7590</v>
      </c>
      <c r="E11" s="290">
        <v>7590</v>
      </c>
      <c r="F11" s="290"/>
    </row>
    <row r="12" spans="1:6" s="34" customFormat="1">
      <c r="A12" s="13">
        <v>2</v>
      </c>
      <c r="B12" s="329" t="s">
        <v>99</v>
      </c>
      <c r="C12" s="289">
        <f>C13</f>
        <v>88</v>
      </c>
      <c r="D12" s="289">
        <f>D13</f>
        <v>88</v>
      </c>
      <c r="E12" s="289">
        <f>E13</f>
        <v>78</v>
      </c>
      <c r="F12" s="289">
        <f>F13</f>
        <v>10</v>
      </c>
    </row>
    <row r="13" spans="1:6" s="34" customFormat="1" ht="30.75">
      <c r="A13" s="14" t="s">
        <v>102</v>
      </c>
      <c r="B13" s="371" t="s">
        <v>748</v>
      </c>
      <c r="C13" s="290">
        <v>88</v>
      </c>
      <c r="D13" s="290">
        <f>E13+F13</f>
        <v>88</v>
      </c>
      <c r="E13" s="290">
        <v>78</v>
      </c>
      <c r="F13" s="290">
        <v>10</v>
      </c>
    </row>
    <row r="14" spans="1:6" s="10" customFormat="1" ht="16.25" customHeight="1">
      <c r="A14" s="13" t="s">
        <v>87</v>
      </c>
      <c r="B14" s="8" t="s">
        <v>100</v>
      </c>
      <c r="C14" s="289">
        <f>C15+C18+C19</f>
        <v>418041</v>
      </c>
      <c r="D14" s="289">
        <f>D15+D18+D19</f>
        <v>418041</v>
      </c>
      <c r="E14" s="289">
        <f>E15+E18+E19</f>
        <v>331074.35700000008</v>
      </c>
      <c r="F14" s="289">
        <f>F15+F18+F19</f>
        <v>86966.642999999996</v>
      </c>
    </row>
    <row r="15" spans="1:6" s="10" customFormat="1" ht="16.25" customHeight="1">
      <c r="A15" s="13" t="s">
        <v>39</v>
      </c>
      <c r="B15" s="8" t="s">
        <v>41</v>
      </c>
      <c r="C15" s="289">
        <v>251185</v>
      </c>
      <c r="D15" s="289">
        <f>D16+D17</f>
        <v>251185</v>
      </c>
      <c r="E15" s="289">
        <f>E16+E17</f>
        <v>250855</v>
      </c>
      <c r="F15" s="289">
        <f>F16+F17</f>
        <v>330</v>
      </c>
    </row>
    <row r="16" spans="1:6" s="10" customFormat="1" ht="16.25" customHeight="1">
      <c r="A16" s="14">
        <v>1</v>
      </c>
      <c r="B16" s="7" t="s">
        <v>219</v>
      </c>
      <c r="C16" s="290"/>
      <c r="D16" s="290">
        <f>E16+F16</f>
        <v>248357.02900000001</v>
      </c>
      <c r="E16" s="290">
        <f>'DT chi cân đối NS huyện'!D217</f>
        <v>248027.02900000001</v>
      </c>
      <c r="F16" s="290">
        <f>'chi xã'!C56</f>
        <v>330</v>
      </c>
    </row>
    <row r="17" spans="1:6" s="10" customFormat="1" ht="16.25" customHeight="1">
      <c r="A17" s="14">
        <v>2</v>
      </c>
      <c r="B17" s="7" t="s">
        <v>220</v>
      </c>
      <c r="C17" s="290"/>
      <c r="D17" s="290">
        <f>E17+F17</f>
        <v>2827.971</v>
      </c>
      <c r="E17" s="290">
        <f>'DT chi cân đối NS huyện'!D313</f>
        <v>2827.971</v>
      </c>
      <c r="F17" s="290"/>
    </row>
    <row r="18" spans="1:6" s="9" customFormat="1" ht="16.25" customHeight="1">
      <c r="A18" s="35" t="s">
        <v>110</v>
      </c>
      <c r="B18" s="6" t="s">
        <v>324</v>
      </c>
      <c r="C18" s="289">
        <f>D18</f>
        <v>200</v>
      </c>
      <c r="D18" s="289">
        <f>E18+F18</f>
        <v>200</v>
      </c>
      <c r="E18" s="289">
        <f>'DT chi cân đối NS huyện'!D401</f>
        <v>200</v>
      </c>
      <c r="F18" s="289"/>
    </row>
    <row r="19" spans="1:6" s="10" customFormat="1" ht="16.25" customHeight="1">
      <c r="A19" s="13" t="s">
        <v>40</v>
      </c>
      <c r="B19" s="8" t="s">
        <v>221</v>
      </c>
      <c r="C19" s="289">
        <v>166656</v>
      </c>
      <c r="D19" s="289">
        <f>SUM(D20:D31)</f>
        <v>166656</v>
      </c>
      <c r="E19" s="289">
        <f>SUM(E20:E31)</f>
        <v>80019.357000000047</v>
      </c>
      <c r="F19" s="289">
        <f>SUM(F20:F31)</f>
        <v>86636.642999999996</v>
      </c>
    </row>
    <row r="20" spans="1:6" s="10" customFormat="1" ht="16.25" customHeight="1">
      <c r="A20" s="12">
        <v>1</v>
      </c>
      <c r="B20" s="7" t="s">
        <v>104</v>
      </c>
      <c r="C20" s="290"/>
      <c r="D20" s="290">
        <f>E20+F20</f>
        <v>124013.03000000003</v>
      </c>
      <c r="E20" s="290">
        <f>'DT chi cân đối NS huyện'!D10</f>
        <v>47296.217000000041</v>
      </c>
      <c r="F20" s="290">
        <f>'chi xã'!C11+'chi xã'!C16+'chi xã'!C20+'chi xã'!C24+'chi xã'!C28+'chi xã'!C32+'chi xã'!C33+'chi xã'!C35+'chi xã'!C36+'chi xã'!C37+'chi xã'!C38+'chi xã'!C39+'chi xã'!C40+'chi xã'!C68+'chi xã'!C69+'chi xã'!C70+'chi xã'!C71+'chi xã'!C73+'chi xã'!C74+'chi xã'!C76+'chi xã'!C77+'chi xã'!C75+'chi xã'!C79+'chi xã'!C78</f>
        <v>76716.812999999995</v>
      </c>
    </row>
    <row r="21" spans="1:6" s="10" customFormat="1" ht="16.25" customHeight="1">
      <c r="A21" s="12">
        <v>2</v>
      </c>
      <c r="B21" s="7" t="s">
        <v>222</v>
      </c>
      <c r="C21" s="290"/>
      <c r="D21" s="290">
        <f t="shared" ref="D21:D31" si="1">E21+F21</f>
        <v>2174.8829999999998</v>
      </c>
      <c r="E21" s="290">
        <f>'DT chi cân đối NS huyện'!D321</f>
        <v>2009.883</v>
      </c>
      <c r="F21" s="290">
        <f>'chi xã'!C58</f>
        <v>165</v>
      </c>
    </row>
    <row r="22" spans="1:6" s="10" customFormat="1" ht="16.25" customHeight="1">
      <c r="A22" s="12">
        <v>3</v>
      </c>
      <c r="B22" s="7" t="s">
        <v>373</v>
      </c>
      <c r="C22" s="290"/>
      <c r="D22" s="290">
        <f t="shared" si="1"/>
        <v>80</v>
      </c>
      <c r="E22" s="290">
        <f>'DT chi cân đối NS huyện'!D342</f>
        <v>80</v>
      </c>
      <c r="F22" s="305"/>
    </row>
    <row r="23" spans="1:6" s="10" customFormat="1" ht="16.25" customHeight="1">
      <c r="A23" s="12">
        <v>4</v>
      </c>
      <c r="B23" s="7" t="s">
        <v>105</v>
      </c>
      <c r="C23" s="290"/>
      <c r="D23" s="290">
        <f t="shared" si="1"/>
        <v>315</v>
      </c>
      <c r="E23" s="290">
        <f>'DT chi cân đối NS huyện'!D334</f>
        <v>150</v>
      </c>
      <c r="F23" s="305">
        <f>'chi xã'!C59</f>
        <v>165</v>
      </c>
    </row>
    <row r="24" spans="1:6" s="10" customFormat="1" ht="16.25" customHeight="1">
      <c r="A24" s="12">
        <v>5</v>
      </c>
      <c r="B24" s="7" t="s">
        <v>269</v>
      </c>
      <c r="C24" s="290"/>
      <c r="D24" s="290">
        <f t="shared" si="1"/>
        <v>1890.0590000000002</v>
      </c>
      <c r="E24" s="290">
        <f>'DT chi cân đối NS huyện'!D337</f>
        <v>1890.0590000000002</v>
      </c>
      <c r="F24" s="305"/>
    </row>
    <row r="25" spans="1:6" s="10" customFormat="1" ht="16.25" customHeight="1">
      <c r="A25" s="12">
        <v>6</v>
      </c>
      <c r="B25" s="7" t="s">
        <v>223</v>
      </c>
      <c r="C25" s="290"/>
      <c r="D25" s="290">
        <f>E25+F25</f>
        <v>14637</v>
      </c>
      <c r="E25" s="290">
        <f>'DT chi cân đối NS huyện'!D347</f>
        <v>13890</v>
      </c>
      <c r="F25" s="305">
        <f>'chi xã'!C49</f>
        <v>747</v>
      </c>
    </row>
    <row r="26" spans="1:6" s="10" customFormat="1" ht="16.25" customHeight="1">
      <c r="A26" s="12">
        <v>7</v>
      </c>
      <c r="B26" s="7" t="s">
        <v>106</v>
      </c>
      <c r="C26" s="290"/>
      <c r="D26" s="290">
        <f t="shared" si="1"/>
        <v>7235.8</v>
      </c>
      <c r="E26" s="290">
        <f>'DT chi cân đối NS huyện'!D404+'DT chi cân đối NS huyện'!D414</f>
        <v>1850</v>
      </c>
      <c r="F26" s="305">
        <f>'chi xã'!C41-'chi xã'!C48</f>
        <v>5385.8</v>
      </c>
    </row>
    <row r="27" spans="1:6" s="10" customFormat="1" ht="16.25" customHeight="1">
      <c r="A27" s="12">
        <v>8</v>
      </c>
      <c r="B27" s="7" t="s">
        <v>107</v>
      </c>
      <c r="C27" s="290"/>
      <c r="D27" s="290">
        <f t="shared" si="1"/>
        <v>660</v>
      </c>
      <c r="E27" s="290">
        <f>'DT chi cân đối NS huyện'!D409</f>
        <v>550</v>
      </c>
      <c r="F27" s="305">
        <f>'chi xã'!C48</f>
        <v>110</v>
      </c>
    </row>
    <row r="28" spans="1:6" s="10" customFormat="1" ht="16.25" customHeight="1">
      <c r="A28" s="12">
        <v>9</v>
      </c>
      <c r="B28" s="7" t="s">
        <v>101</v>
      </c>
      <c r="C28" s="290"/>
      <c r="D28" s="290">
        <f>E28+F28</f>
        <v>11870.227999999999</v>
      </c>
      <c r="E28" s="290">
        <f>'DT chi cân đối NS huyện'!D355</f>
        <v>8853.1980000000003</v>
      </c>
      <c r="F28" s="305">
        <f>'chi xã'!C60</f>
        <v>3017.0299999999997</v>
      </c>
    </row>
    <row r="29" spans="1:6" s="10" customFormat="1" ht="16.25" customHeight="1">
      <c r="A29" s="12">
        <v>10</v>
      </c>
      <c r="B29" s="7" t="s">
        <v>224</v>
      </c>
      <c r="C29" s="290"/>
      <c r="D29" s="290">
        <f t="shared" si="1"/>
        <v>1930</v>
      </c>
      <c r="E29" s="290">
        <f>'DT chi cân đối NS huyện'!D397</f>
        <v>1600</v>
      </c>
      <c r="F29" s="305">
        <f>'chi xã'!C72</f>
        <v>330</v>
      </c>
    </row>
    <row r="30" spans="1:6" s="10" customFormat="1" ht="16.25" customHeight="1">
      <c r="A30" s="12">
        <v>11</v>
      </c>
      <c r="B30" s="7" t="s">
        <v>321</v>
      </c>
      <c r="C30" s="290"/>
      <c r="D30" s="290">
        <f t="shared" si="1"/>
        <v>1800</v>
      </c>
      <c r="E30" s="290">
        <f>'DT chi cân đối NS huyện'!D417</f>
        <v>1800</v>
      </c>
      <c r="F30" s="305"/>
    </row>
    <row r="31" spans="1:6" s="10" customFormat="1" ht="16.25" customHeight="1">
      <c r="A31" s="12">
        <v>12</v>
      </c>
      <c r="B31" s="7" t="s">
        <v>284</v>
      </c>
      <c r="C31" s="290"/>
      <c r="D31" s="290">
        <f t="shared" si="1"/>
        <v>50</v>
      </c>
      <c r="E31" s="290">
        <f>'DT chi cân đối NS huyện'!D419</f>
        <v>50</v>
      </c>
      <c r="F31" s="290"/>
    </row>
    <row r="32" spans="1:6" s="10" customFormat="1" ht="16.25" customHeight="1">
      <c r="A32" s="13" t="s">
        <v>88</v>
      </c>
      <c r="B32" s="8" t="s">
        <v>108</v>
      </c>
      <c r="C32" s="289">
        <v>8689</v>
      </c>
      <c r="D32" s="289">
        <f>E32+F32</f>
        <v>8689</v>
      </c>
      <c r="E32" s="289">
        <f>'DT chi cân đối NS huyện'!D420</f>
        <v>6913.3</v>
      </c>
      <c r="F32" s="289">
        <f>'chi xã'!C80</f>
        <v>1775.6999999999998</v>
      </c>
    </row>
    <row r="33" spans="1:6" s="9" customFormat="1" ht="16.25" customHeight="1">
      <c r="A33" s="13" t="s">
        <v>89</v>
      </c>
      <c r="B33" s="8" t="s">
        <v>585</v>
      </c>
      <c r="C33" s="289">
        <f>C34+C49</f>
        <v>70329</v>
      </c>
      <c r="D33" s="289">
        <f>D34+D49</f>
        <v>70329</v>
      </c>
      <c r="E33" s="289">
        <f>E34+E49</f>
        <v>62577</v>
      </c>
      <c r="F33" s="289">
        <f>F34+F49</f>
        <v>7602</v>
      </c>
    </row>
    <row r="34" spans="1:6" s="9" customFormat="1" ht="16.25" customHeight="1">
      <c r="A34" s="13" t="s">
        <v>86</v>
      </c>
      <c r="B34" s="37" t="s">
        <v>227</v>
      </c>
      <c r="C34" s="289">
        <f>C35+C40</f>
        <v>51194</v>
      </c>
      <c r="D34" s="289">
        <f t="shared" ref="D34:F34" si="2">D35+D40</f>
        <v>51194</v>
      </c>
      <c r="E34" s="289">
        <f t="shared" si="2"/>
        <v>44725</v>
      </c>
      <c r="F34" s="289">
        <f t="shared" si="2"/>
        <v>6469</v>
      </c>
    </row>
    <row r="35" spans="1:6" s="9" customFormat="1" ht="16.25" customHeight="1">
      <c r="A35" s="36">
        <v>1</v>
      </c>
      <c r="B35" s="5" t="s">
        <v>291</v>
      </c>
      <c r="C35" s="289">
        <f>C36+C38+C39</f>
        <v>9170</v>
      </c>
      <c r="D35" s="289">
        <f>D36+D38+D39</f>
        <v>9170</v>
      </c>
      <c r="E35" s="289">
        <f>E36+BSMT!D14+BSMT!D15</f>
        <v>9170</v>
      </c>
      <c r="F35" s="289">
        <f>F36+F37</f>
        <v>0</v>
      </c>
    </row>
    <row r="36" spans="1:6" s="10" customFormat="1" ht="16.25" customHeight="1">
      <c r="A36" s="430">
        <v>1</v>
      </c>
      <c r="B36" s="4" t="s">
        <v>291</v>
      </c>
      <c r="C36" s="290">
        <f>C37</f>
        <v>2870</v>
      </c>
      <c r="D36" s="290">
        <f>D37</f>
        <v>2870</v>
      </c>
      <c r="E36" s="290">
        <f>BSMT!D13</f>
        <v>2870</v>
      </c>
      <c r="F36" s="290">
        <f>F37</f>
        <v>0</v>
      </c>
    </row>
    <row r="37" spans="1:6" s="10" customFormat="1" ht="17.75" customHeight="1">
      <c r="A37" s="435" t="s">
        <v>102</v>
      </c>
      <c r="B37" s="436" t="s">
        <v>350</v>
      </c>
      <c r="C37" s="290">
        <v>2870</v>
      </c>
      <c r="D37" s="290">
        <v>2870</v>
      </c>
      <c r="E37" s="290"/>
      <c r="F37" s="290"/>
    </row>
    <row r="38" spans="1:6" s="10" customFormat="1" ht="78.849999999999994" customHeight="1">
      <c r="A38" s="435">
        <v>2</v>
      </c>
      <c r="B38" s="436" t="s">
        <v>775</v>
      </c>
      <c r="C38" s="290">
        <v>1500</v>
      </c>
      <c r="D38" s="290">
        <v>1500</v>
      </c>
      <c r="E38" s="290"/>
      <c r="F38" s="290"/>
    </row>
    <row r="39" spans="1:6" s="10" customFormat="1" ht="78.849999999999994" customHeight="1">
      <c r="A39" s="435">
        <v>3</v>
      </c>
      <c r="B39" s="436" t="s">
        <v>776</v>
      </c>
      <c r="C39" s="290">
        <v>4800</v>
      </c>
      <c r="D39" s="290">
        <v>4800</v>
      </c>
      <c r="E39" s="290"/>
      <c r="F39" s="290"/>
    </row>
    <row r="40" spans="1:6" s="372" customFormat="1" ht="16.25" customHeight="1">
      <c r="A40" s="322">
        <v>2</v>
      </c>
      <c r="B40" s="312" t="s">
        <v>292</v>
      </c>
      <c r="C40" s="354">
        <f>SUM(C41:C48)</f>
        <v>42024</v>
      </c>
      <c r="D40" s="354">
        <f>SUM(D41:D48)</f>
        <v>42024</v>
      </c>
      <c r="E40" s="354">
        <f>SUM(E41:E48)</f>
        <v>35555</v>
      </c>
      <c r="F40" s="354">
        <f t="shared" ref="F40" si="3">SUM(F41:F48)</f>
        <v>6469</v>
      </c>
    </row>
    <row r="41" spans="1:6" s="372" customFormat="1" ht="59.35" customHeight="1">
      <c r="A41" s="375" t="s">
        <v>148</v>
      </c>
      <c r="B41" s="436" t="s">
        <v>791</v>
      </c>
      <c r="C41" s="305">
        <v>674</v>
      </c>
      <c r="D41" s="305">
        <f>E41+F41</f>
        <v>674</v>
      </c>
      <c r="E41" s="305"/>
      <c r="F41" s="305">
        <v>674</v>
      </c>
    </row>
    <row r="42" spans="1:6" s="372" customFormat="1" ht="59.35" customHeight="1">
      <c r="A42" s="375" t="s">
        <v>150</v>
      </c>
      <c r="B42" s="436" t="s">
        <v>808</v>
      </c>
      <c r="C42" s="305">
        <v>1155</v>
      </c>
      <c r="D42" s="305">
        <f t="shared" ref="D42:D47" si="4">E42+F42</f>
        <v>1155</v>
      </c>
      <c r="E42" s="305">
        <v>1155</v>
      </c>
      <c r="F42" s="305"/>
    </row>
    <row r="43" spans="1:6" s="372" customFormat="1" ht="59.35" customHeight="1">
      <c r="A43" s="375" t="s">
        <v>153</v>
      </c>
      <c r="B43" s="436" t="s">
        <v>754</v>
      </c>
      <c r="C43" s="305">
        <v>1178</v>
      </c>
      <c r="D43" s="305">
        <f t="shared" si="4"/>
        <v>1178</v>
      </c>
      <c r="E43" s="305"/>
      <c r="F43" s="305">
        <v>1178</v>
      </c>
    </row>
    <row r="44" spans="1:6" s="372" customFormat="1" ht="59.35" customHeight="1">
      <c r="A44" s="375" t="s">
        <v>157</v>
      </c>
      <c r="B44" s="436" t="s">
        <v>755</v>
      </c>
      <c r="C44" s="305">
        <v>100</v>
      </c>
      <c r="D44" s="305">
        <f t="shared" si="4"/>
        <v>100</v>
      </c>
      <c r="E44" s="305">
        <v>100</v>
      </c>
      <c r="F44" s="305"/>
    </row>
    <row r="45" spans="1:6" s="372" customFormat="1" ht="59.35" customHeight="1">
      <c r="A45" s="375" t="s">
        <v>820</v>
      </c>
      <c r="B45" s="436" t="s">
        <v>756</v>
      </c>
      <c r="C45" s="484">
        <v>22</v>
      </c>
      <c r="D45" s="305">
        <f t="shared" si="4"/>
        <v>22</v>
      </c>
      <c r="E45" s="305"/>
      <c r="F45" s="305">
        <v>22</v>
      </c>
    </row>
    <row r="46" spans="1:6" s="372" customFormat="1" ht="87.85" customHeight="1">
      <c r="A46" s="375" t="s">
        <v>821</v>
      </c>
      <c r="B46" s="436" t="s">
        <v>809</v>
      </c>
      <c r="C46" s="484">
        <v>1000</v>
      </c>
      <c r="D46" s="305">
        <f t="shared" si="4"/>
        <v>1000</v>
      </c>
      <c r="E46" s="305">
        <v>1000</v>
      </c>
      <c r="F46" s="305"/>
    </row>
    <row r="47" spans="1:6" s="372" customFormat="1" ht="87.85" customHeight="1">
      <c r="A47" s="375" t="s">
        <v>822</v>
      </c>
      <c r="B47" s="436" t="s">
        <v>810</v>
      </c>
      <c r="C47" s="484">
        <v>4595</v>
      </c>
      <c r="D47" s="305">
        <f t="shared" si="4"/>
        <v>4595</v>
      </c>
      <c r="E47" s="305"/>
      <c r="F47" s="305">
        <v>4595</v>
      </c>
    </row>
    <row r="48" spans="1:6" s="372" customFormat="1" ht="87.85" customHeight="1">
      <c r="A48" s="438" t="s">
        <v>884</v>
      </c>
      <c r="B48" s="436" t="s">
        <v>877</v>
      </c>
      <c r="C48" s="484">
        <v>33300</v>
      </c>
      <c r="D48" s="305">
        <v>33300</v>
      </c>
      <c r="E48" s="305">
        <v>33300</v>
      </c>
      <c r="F48" s="305"/>
    </row>
    <row r="49" spans="1:6" s="374" customFormat="1" ht="16.25" customHeight="1">
      <c r="A49" s="13" t="s">
        <v>87</v>
      </c>
      <c r="B49" s="373" t="s">
        <v>582</v>
      </c>
      <c r="C49" s="376">
        <f>C50+C51+C59</f>
        <v>19135</v>
      </c>
      <c r="D49" s="376">
        <f t="shared" ref="D49:F49" si="5">D50+D51+D59</f>
        <v>19135</v>
      </c>
      <c r="E49" s="376">
        <f t="shared" si="5"/>
        <v>17852</v>
      </c>
      <c r="F49" s="376">
        <f t="shared" si="5"/>
        <v>1133</v>
      </c>
    </row>
    <row r="50" spans="1:6" s="374" customFormat="1" ht="46.9" customHeight="1">
      <c r="A50" s="493">
        <v>1</v>
      </c>
      <c r="B50" s="5" t="s">
        <v>779</v>
      </c>
      <c r="C50" s="494">
        <v>150</v>
      </c>
      <c r="D50" s="376">
        <v>150</v>
      </c>
      <c r="E50" s="376"/>
      <c r="F50" s="376"/>
    </row>
    <row r="51" spans="1:6" s="374" customFormat="1" ht="46.9" customHeight="1">
      <c r="A51" s="493">
        <v>2</v>
      </c>
      <c r="B51" s="5" t="s">
        <v>778</v>
      </c>
      <c r="C51" s="495">
        <f>SUM(C52:C57)</f>
        <v>17852</v>
      </c>
      <c r="D51" s="495">
        <f t="shared" ref="D51:E51" si="6">SUM(D52:D57)</f>
        <v>17852</v>
      </c>
      <c r="E51" s="495">
        <f t="shared" si="6"/>
        <v>17852</v>
      </c>
      <c r="F51" s="495">
        <f t="shared" ref="F51" si="7">SUM(F52:F58)</f>
        <v>0</v>
      </c>
    </row>
    <row r="52" spans="1:6" s="374" customFormat="1" ht="70.5" customHeight="1">
      <c r="A52" s="438" t="s">
        <v>148</v>
      </c>
      <c r="B52" s="436" t="s">
        <v>891</v>
      </c>
      <c r="C52" s="484">
        <v>35</v>
      </c>
      <c r="D52" s="517">
        <f>E52+F52</f>
        <v>35</v>
      </c>
      <c r="E52" s="517">
        <v>35</v>
      </c>
      <c r="F52" s="376"/>
    </row>
    <row r="53" spans="1:6" s="374" customFormat="1" ht="70.5" customHeight="1">
      <c r="A53" s="438" t="s">
        <v>150</v>
      </c>
      <c r="B53" s="436" t="s">
        <v>892</v>
      </c>
      <c r="C53" s="484">
        <v>468</v>
      </c>
      <c r="D53" s="517">
        <f t="shared" ref="D53:D58" si="8">E53+F53</f>
        <v>468</v>
      </c>
      <c r="E53" s="517">
        <v>468</v>
      </c>
      <c r="F53" s="376"/>
    </row>
    <row r="54" spans="1:6" s="374" customFormat="1" ht="70.5" customHeight="1">
      <c r="A54" s="438" t="s">
        <v>153</v>
      </c>
      <c r="B54" s="436" t="s">
        <v>893</v>
      </c>
      <c r="C54" s="484">
        <v>13052</v>
      </c>
      <c r="D54" s="517">
        <f t="shared" si="8"/>
        <v>13052</v>
      </c>
      <c r="E54" s="517">
        <v>13052</v>
      </c>
      <c r="F54" s="376"/>
    </row>
    <row r="55" spans="1:6" s="374" customFormat="1" ht="70.5" customHeight="1">
      <c r="A55" s="438" t="s">
        <v>157</v>
      </c>
      <c r="B55" s="436" t="s">
        <v>894</v>
      </c>
      <c r="C55" s="484">
        <v>520</v>
      </c>
      <c r="D55" s="517">
        <f t="shared" si="8"/>
        <v>520</v>
      </c>
      <c r="E55" s="517">
        <v>520</v>
      </c>
      <c r="F55" s="376"/>
    </row>
    <row r="56" spans="1:6" s="374" customFormat="1" ht="46.9" customHeight="1">
      <c r="A56" s="438" t="s">
        <v>820</v>
      </c>
      <c r="B56" s="436" t="s">
        <v>811</v>
      </c>
      <c r="C56" s="484">
        <v>7</v>
      </c>
      <c r="D56" s="517">
        <f t="shared" si="8"/>
        <v>7</v>
      </c>
      <c r="E56" s="517">
        <v>7</v>
      </c>
      <c r="F56" s="376"/>
    </row>
    <row r="57" spans="1:6" s="374" customFormat="1" ht="46.9" customHeight="1">
      <c r="A57" s="438" t="s">
        <v>821</v>
      </c>
      <c r="B57" s="436" t="s">
        <v>812</v>
      </c>
      <c r="C57" s="484">
        <v>3770</v>
      </c>
      <c r="D57" s="517">
        <v>3770</v>
      </c>
      <c r="E57" s="517">
        <v>3770</v>
      </c>
      <c r="F57" s="376"/>
    </row>
    <row r="58" spans="1:6" s="374" customFormat="1" ht="46.9" hidden="1" customHeight="1">
      <c r="A58" s="438" t="s">
        <v>822</v>
      </c>
      <c r="B58" s="436" t="s">
        <v>813</v>
      </c>
      <c r="C58" s="484">
        <v>-443</v>
      </c>
      <c r="D58" s="517">
        <f t="shared" si="8"/>
        <v>-443</v>
      </c>
      <c r="E58" s="517">
        <v>-443</v>
      </c>
      <c r="F58" s="376"/>
    </row>
    <row r="59" spans="1:6" s="374" customFormat="1" ht="46.9" customHeight="1">
      <c r="A59" s="512" t="s">
        <v>88</v>
      </c>
      <c r="B59" s="433" t="s">
        <v>815</v>
      </c>
      <c r="C59" s="513">
        <v>1133</v>
      </c>
      <c r="D59" s="376">
        <f>E59+F59</f>
        <v>1133</v>
      </c>
      <c r="E59" s="376"/>
      <c r="F59" s="376">
        <v>1133</v>
      </c>
    </row>
  </sheetData>
  <mergeCells count="9">
    <mergeCell ref="A5:A6"/>
    <mergeCell ref="B5:B6"/>
    <mergeCell ref="C5:C6"/>
    <mergeCell ref="D5:F5"/>
    <mergeCell ref="A1:C1"/>
    <mergeCell ref="A2:F2"/>
    <mergeCell ref="E4:F4"/>
    <mergeCell ref="E1:F1"/>
    <mergeCell ref="A3:F3"/>
  </mergeCells>
  <phoneticPr fontId="6" type="noConversion"/>
  <pageMargins left="0.74" right="0.17" top="0.28999999999999998" bottom="0.27" header="0.23" footer="0.23622047244094499"/>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429"/>
  <sheetViews>
    <sheetView topLeftCell="A10" zoomScale="96" zoomScaleNormal="96" workbookViewId="0">
      <selection activeCell="B17" sqref="B17"/>
    </sheetView>
  </sheetViews>
  <sheetFormatPr defaultColWidth="8.89453125" defaultRowHeight="15.4"/>
  <cols>
    <col min="1" max="1" width="4.7890625" style="544" customWidth="1"/>
    <col min="2" max="2" width="45" style="310" customWidth="1"/>
    <col min="3" max="3" width="7.89453125" style="390" customWidth="1"/>
    <col min="4" max="11" width="10.62890625" style="310" customWidth="1"/>
    <col min="12" max="12" width="10.62890625" style="333" customWidth="1"/>
    <col min="13" max="36" width="8.89453125" style="310" customWidth="1"/>
    <col min="37" max="16384" width="8.89453125" style="310"/>
  </cols>
  <sheetData>
    <row r="1" spans="1:12">
      <c r="A1" s="578" t="s">
        <v>84</v>
      </c>
      <c r="B1" s="578"/>
      <c r="C1" s="330"/>
      <c r="D1" s="385"/>
      <c r="E1" s="385"/>
      <c r="F1" s="385"/>
      <c r="G1" s="385"/>
      <c r="H1" s="385"/>
      <c r="I1" s="385"/>
      <c r="J1" s="385"/>
      <c r="K1" s="579" t="s">
        <v>280</v>
      </c>
      <c r="L1" s="579"/>
    </row>
    <row r="2" spans="1:12" ht="30.75" customHeight="1">
      <c r="A2" s="578" t="s">
        <v>802</v>
      </c>
      <c r="B2" s="578"/>
      <c r="C2" s="578"/>
      <c r="D2" s="578"/>
      <c r="E2" s="578"/>
      <c r="F2" s="578"/>
      <c r="G2" s="578"/>
      <c r="H2" s="578"/>
      <c r="I2" s="578"/>
      <c r="J2" s="578"/>
      <c r="K2" s="578"/>
      <c r="L2" s="578"/>
    </row>
    <row r="3" spans="1:12" ht="26.65" customHeight="1">
      <c r="A3" s="580" t="str">
        <f>'DT thu 2025'!A5:L5</f>
        <v>(Kèm theo Nghị quyết số .../NQ-HĐND ngày ... tháng ... năm 2024 của HĐND huyện Tu Mơ Rông)</v>
      </c>
      <c r="B3" s="581"/>
      <c r="C3" s="581"/>
      <c r="D3" s="581"/>
      <c r="E3" s="581"/>
      <c r="F3" s="581"/>
      <c r="G3" s="581"/>
      <c r="H3" s="581"/>
      <c r="I3" s="581"/>
      <c r="J3" s="581"/>
      <c r="K3" s="581"/>
      <c r="L3" s="581"/>
    </row>
    <row r="4" spans="1:12">
      <c r="B4" s="331"/>
      <c r="C4" s="332"/>
      <c r="D4" s="333"/>
      <c r="E4" s="333"/>
      <c r="F4" s="333"/>
      <c r="G4" s="333"/>
      <c r="H4" s="333"/>
      <c r="I4" s="333"/>
      <c r="J4" s="333"/>
      <c r="K4" s="573" t="s">
        <v>709</v>
      </c>
      <c r="L4" s="573"/>
    </row>
    <row r="5" spans="1:12" ht="46.9" customHeight="1">
      <c r="A5" s="574" t="s">
        <v>66</v>
      </c>
      <c r="B5" s="574" t="s">
        <v>113</v>
      </c>
      <c r="C5" s="582" t="s">
        <v>250</v>
      </c>
      <c r="D5" s="574" t="s">
        <v>851</v>
      </c>
      <c r="E5" s="574"/>
      <c r="F5" s="574"/>
      <c r="G5" s="574"/>
      <c r="H5" s="574"/>
      <c r="I5" s="574"/>
      <c r="J5" s="574"/>
      <c r="K5" s="577" t="s">
        <v>706</v>
      </c>
      <c r="L5" s="577" t="s">
        <v>266</v>
      </c>
    </row>
    <row r="6" spans="1:12" ht="28.15" customHeight="1">
      <c r="A6" s="574"/>
      <c r="B6" s="574"/>
      <c r="C6" s="582"/>
      <c r="D6" s="577" t="s">
        <v>67</v>
      </c>
      <c r="E6" s="574" t="s">
        <v>828</v>
      </c>
      <c r="F6" s="574" t="s">
        <v>731</v>
      </c>
      <c r="G6" s="574" t="s">
        <v>732</v>
      </c>
      <c r="H6" s="575" t="s">
        <v>827</v>
      </c>
      <c r="I6" s="583" t="s">
        <v>332</v>
      </c>
      <c r="J6" s="577" t="s">
        <v>366</v>
      </c>
      <c r="K6" s="577"/>
      <c r="L6" s="577"/>
    </row>
    <row r="7" spans="1:12" ht="82.9" customHeight="1">
      <c r="A7" s="574"/>
      <c r="B7" s="574"/>
      <c r="C7" s="582"/>
      <c r="D7" s="577"/>
      <c r="E7" s="574"/>
      <c r="F7" s="574"/>
      <c r="G7" s="574"/>
      <c r="H7" s="576"/>
      <c r="I7" s="583"/>
      <c r="J7" s="577"/>
      <c r="K7" s="577"/>
      <c r="L7" s="577"/>
    </row>
    <row r="8" spans="1:12" s="357" customFormat="1" ht="33" customHeight="1">
      <c r="A8" s="546" t="s">
        <v>85</v>
      </c>
      <c r="B8" s="546" t="s">
        <v>89</v>
      </c>
      <c r="C8" s="547">
        <v>1</v>
      </c>
      <c r="D8" s="546" t="s">
        <v>848</v>
      </c>
      <c r="E8" s="546" t="s">
        <v>849</v>
      </c>
      <c r="F8" s="546" t="s">
        <v>247</v>
      </c>
      <c r="G8" s="546" t="s">
        <v>248</v>
      </c>
      <c r="H8" s="546" t="s">
        <v>730</v>
      </c>
      <c r="I8" s="546" t="s">
        <v>829</v>
      </c>
      <c r="J8" s="546" t="s">
        <v>830</v>
      </c>
      <c r="K8" s="546">
        <v>3</v>
      </c>
      <c r="L8" s="546" t="s">
        <v>257</v>
      </c>
    </row>
    <row r="9" spans="1:12" ht="30">
      <c r="A9" s="298"/>
      <c r="B9" s="312" t="s">
        <v>590</v>
      </c>
      <c r="C9" s="322"/>
      <c r="D9" s="299">
        <f t="shared" ref="D9:L9" si="0">D10+D216+D321+D334+D337+D342+D347+D355+D397+D401+D403+D417+D419+D420</f>
        <v>337987.65700000001</v>
      </c>
      <c r="E9" s="299">
        <f t="shared" si="0"/>
        <v>220819.17200000008</v>
      </c>
      <c r="F9" s="299">
        <f t="shared" si="0"/>
        <v>139399.92700000003</v>
      </c>
      <c r="G9" s="299">
        <f t="shared" si="0"/>
        <v>24597.505000000001</v>
      </c>
      <c r="H9" s="299">
        <f t="shared" si="0"/>
        <v>54485.857000000004</v>
      </c>
      <c r="I9" s="299">
        <f t="shared" si="0"/>
        <v>26274.9</v>
      </c>
      <c r="J9" s="299">
        <f t="shared" si="0"/>
        <v>90893.585000000006</v>
      </c>
      <c r="K9" s="299">
        <f t="shared" si="0"/>
        <v>4179.5200000000004</v>
      </c>
      <c r="L9" s="299">
        <f t="shared" si="0"/>
        <v>332639.03700000007</v>
      </c>
    </row>
    <row r="10" spans="1:12" ht="20.75" customHeight="1">
      <c r="A10" s="298" t="s">
        <v>85</v>
      </c>
      <c r="B10" s="312" t="s">
        <v>184</v>
      </c>
      <c r="C10" s="322">
        <f>C11+C122+C150+C196+C213</f>
        <v>130</v>
      </c>
      <c r="D10" s="299">
        <f t="shared" ref="D10:L10" si="1">D11+D122+D150+D196+D213+D214+D215</f>
        <v>47296.217000000041</v>
      </c>
      <c r="E10" s="299">
        <f t="shared" si="1"/>
        <v>34310.597000000038</v>
      </c>
      <c r="F10" s="299">
        <f t="shared" si="1"/>
        <v>17259.622000000039</v>
      </c>
      <c r="G10" s="299">
        <f t="shared" si="1"/>
        <v>7901.6350000000002</v>
      </c>
      <c r="H10" s="299">
        <f t="shared" si="1"/>
        <v>9149.34</v>
      </c>
      <c r="I10" s="299">
        <f t="shared" si="1"/>
        <v>4986.9000000000005</v>
      </c>
      <c r="J10" s="299">
        <f t="shared" si="1"/>
        <v>7998.7200000000012</v>
      </c>
      <c r="K10" s="299">
        <f t="shared" si="1"/>
        <v>1111.72</v>
      </c>
      <c r="L10" s="299">
        <f t="shared" si="1"/>
        <v>45015.397000000034</v>
      </c>
    </row>
    <row r="11" spans="1:12" ht="20.75" customHeight="1">
      <c r="A11" s="298" t="s">
        <v>86</v>
      </c>
      <c r="B11" s="312" t="s">
        <v>114</v>
      </c>
      <c r="C11" s="322">
        <f>C13+C24+C38+C47+C52+C57+C62+C69+C76+C83+C92+C100+C113+C117</f>
        <v>80</v>
      </c>
      <c r="D11" s="299">
        <f t="shared" ref="D11:L11" si="2">D12+D23+D37+D46+D51+D56+D61+D68+D75+D82+D91+D99+D112+D116</f>
        <v>22447.217000000041</v>
      </c>
      <c r="E11" s="299">
        <f t="shared" si="2"/>
        <v>15864.717000000037</v>
      </c>
      <c r="F11" s="299">
        <f t="shared" si="2"/>
        <v>9651.2250000000386</v>
      </c>
      <c r="G11" s="299">
        <f t="shared" si="2"/>
        <v>2011.816</v>
      </c>
      <c r="H11" s="299">
        <f t="shared" si="2"/>
        <v>4201.6759999999995</v>
      </c>
      <c r="I11" s="299">
        <f t="shared" si="2"/>
        <v>2756.7000000000007</v>
      </c>
      <c r="J11" s="299">
        <f t="shared" si="2"/>
        <v>3825.8000000000011</v>
      </c>
      <c r="K11" s="299">
        <f t="shared" si="2"/>
        <v>569.1400000000001</v>
      </c>
      <c r="L11" s="299">
        <f t="shared" si="2"/>
        <v>21180.858000000037</v>
      </c>
    </row>
    <row r="12" spans="1:12" ht="20.75" customHeight="1">
      <c r="A12" s="298">
        <v>1</v>
      </c>
      <c r="B12" s="312" t="s">
        <v>21</v>
      </c>
      <c r="C12" s="322">
        <f>C15</f>
        <v>30</v>
      </c>
      <c r="D12" s="299">
        <f>SUM(D13:D22)</f>
        <v>2790.33</v>
      </c>
      <c r="E12" s="299">
        <f t="shared" ref="E12:L12" si="3">SUM(E13:E22)</f>
        <v>1359.33</v>
      </c>
      <c r="F12" s="299">
        <f t="shared" si="3"/>
        <v>831.60300000000007</v>
      </c>
      <c r="G12" s="299">
        <f t="shared" si="3"/>
        <v>173.01799999999997</v>
      </c>
      <c r="H12" s="299">
        <f t="shared" si="3"/>
        <v>354.709</v>
      </c>
      <c r="I12" s="299">
        <f t="shared" si="3"/>
        <v>216</v>
      </c>
      <c r="J12" s="299">
        <f t="shared" si="3"/>
        <v>1215</v>
      </c>
      <c r="K12" s="299">
        <f t="shared" si="3"/>
        <v>70.099999999999994</v>
      </c>
      <c r="L12" s="299">
        <f t="shared" si="3"/>
        <v>2666.9070000000002</v>
      </c>
    </row>
    <row r="13" spans="1:12" s="388" customFormat="1" ht="20.75" customHeight="1">
      <c r="A13" s="379" t="s">
        <v>102</v>
      </c>
      <c r="B13" s="380" t="s">
        <v>211</v>
      </c>
      <c r="C13" s="381">
        <v>4</v>
      </c>
      <c r="D13" s="382">
        <f t="shared" ref="D13:D22" si="4">E13+I13+J13</f>
        <v>1185.047</v>
      </c>
      <c r="E13" s="295">
        <f>F13+G13+H13</f>
        <v>969.04700000000003</v>
      </c>
      <c r="F13" s="382">
        <v>617.04300000000001</v>
      </c>
      <c r="G13" s="382">
        <v>128.37799999999999</v>
      </c>
      <c r="H13" s="382">
        <v>223.626</v>
      </c>
      <c r="I13" s="382">
        <f>(C13*27*2)</f>
        <v>216</v>
      </c>
      <c r="J13" s="382"/>
      <c r="K13" s="382">
        <f>(I13+J13)*10%</f>
        <v>21.6</v>
      </c>
      <c r="L13" s="382">
        <f t="shared" ref="L13:L22" si="5">D13-K13</f>
        <v>1163.4470000000001</v>
      </c>
    </row>
    <row r="14" spans="1:12" s="388" customFormat="1" ht="20.75" customHeight="1">
      <c r="A14" s="309" t="s">
        <v>102</v>
      </c>
      <c r="B14" s="304" t="s">
        <v>864</v>
      </c>
      <c r="C14" s="381"/>
      <c r="D14" s="382">
        <f t="shared" si="4"/>
        <v>53.323</v>
      </c>
      <c r="E14" s="295">
        <f>F14+G14+H14</f>
        <v>53.323</v>
      </c>
      <c r="F14" s="382"/>
      <c r="G14" s="382"/>
      <c r="H14" s="382">
        <v>53.323</v>
      </c>
      <c r="I14" s="382"/>
      <c r="J14" s="382"/>
      <c r="K14" s="382"/>
      <c r="L14" s="382"/>
    </row>
    <row r="15" spans="1:12" ht="20.75" customHeight="1">
      <c r="A15" s="311" t="s">
        <v>102</v>
      </c>
      <c r="B15" s="292" t="s">
        <v>272</v>
      </c>
      <c r="C15" s="294">
        <v>30</v>
      </c>
      <c r="D15" s="382">
        <f t="shared" si="4"/>
        <v>336.96</v>
      </c>
      <c r="E15" s="295">
        <f>F15+G15+H15</f>
        <v>336.96</v>
      </c>
      <c r="F15" s="295">
        <v>214.56</v>
      </c>
      <c r="G15" s="295">
        <v>44.64</v>
      </c>
      <c r="H15" s="295">
        <v>77.760000000000005</v>
      </c>
      <c r="I15" s="296"/>
      <c r="J15" s="295"/>
      <c r="K15" s="295">
        <f t="shared" ref="K15:K22" si="6">(I15+J15)*10%</f>
        <v>0</v>
      </c>
      <c r="L15" s="295">
        <f t="shared" si="5"/>
        <v>336.96</v>
      </c>
    </row>
    <row r="16" spans="1:12" ht="56.25" customHeight="1">
      <c r="A16" s="311" t="s">
        <v>102</v>
      </c>
      <c r="B16" s="301" t="s">
        <v>648</v>
      </c>
      <c r="C16" s="294"/>
      <c r="D16" s="382">
        <f t="shared" si="4"/>
        <v>80</v>
      </c>
      <c r="E16" s="295"/>
      <c r="F16" s="295"/>
      <c r="G16" s="295"/>
      <c r="H16" s="295"/>
      <c r="I16" s="296"/>
      <c r="J16" s="295">
        <v>80</v>
      </c>
      <c r="K16" s="295"/>
      <c r="L16" s="295">
        <f t="shared" si="5"/>
        <v>80</v>
      </c>
    </row>
    <row r="17" spans="1:12" ht="84" customHeight="1">
      <c r="A17" s="311" t="s">
        <v>102</v>
      </c>
      <c r="B17" s="301" t="s">
        <v>677</v>
      </c>
      <c r="C17" s="294"/>
      <c r="D17" s="382">
        <f t="shared" si="4"/>
        <v>650</v>
      </c>
      <c r="E17" s="295"/>
      <c r="F17" s="295"/>
      <c r="G17" s="295"/>
      <c r="H17" s="295"/>
      <c r="I17" s="296"/>
      <c r="J17" s="295">
        <v>650</v>
      </c>
      <c r="K17" s="295"/>
      <c r="L17" s="295">
        <f t="shared" si="5"/>
        <v>650</v>
      </c>
    </row>
    <row r="18" spans="1:12" ht="49.15" customHeight="1">
      <c r="A18" s="311" t="s">
        <v>102</v>
      </c>
      <c r="B18" s="301" t="s">
        <v>676</v>
      </c>
      <c r="C18" s="294"/>
      <c r="D18" s="382">
        <f t="shared" si="4"/>
        <v>70</v>
      </c>
      <c r="E18" s="295"/>
      <c r="F18" s="295"/>
      <c r="G18" s="295"/>
      <c r="H18" s="295"/>
      <c r="I18" s="296"/>
      <c r="J18" s="295">
        <v>70</v>
      </c>
      <c r="K18" s="295">
        <f t="shared" si="6"/>
        <v>7</v>
      </c>
      <c r="L18" s="295">
        <f t="shared" si="5"/>
        <v>63</v>
      </c>
    </row>
    <row r="19" spans="1:12" ht="54" customHeight="1">
      <c r="A19" s="311" t="s">
        <v>102</v>
      </c>
      <c r="B19" s="301" t="s">
        <v>675</v>
      </c>
      <c r="C19" s="294"/>
      <c r="D19" s="382">
        <f t="shared" si="4"/>
        <v>100</v>
      </c>
      <c r="E19" s="295"/>
      <c r="F19" s="295"/>
      <c r="G19" s="295"/>
      <c r="H19" s="295"/>
      <c r="I19" s="296"/>
      <c r="J19" s="295">
        <v>100</v>
      </c>
      <c r="K19" s="295">
        <f t="shared" si="6"/>
        <v>10</v>
      </c>
      <c r="L19" s="295">
        <f t="shared" si="5"/>
        <v>90</v>
      </c>
    </row>
    <row r="20" spans="1:12" ht="24.75" customHeight="1">
      <c r="A20" s="311" t="s">
        <v>102</v>
      </c>
      <c r="B20" s="301" t="s">
        <v>577</v>
      </c>
      <c r="C20" s="294"/>
      <c r="D20" s="382">
        <f t="shared" si="4"/>
        <v>100</v>
      </c>
      <c r="E20" s="295"/>
      <c r="F20" s="295"/>
      <c r="G20" s="295"/>
      <c r="H20" s="295"/>
      <c r="I20" s="296"/>
      <c r="J20" s="295">
        <v>100</v>
      </c>
      <c r="K20" s="295">
        <f t="shared" si="6"/>
        <v>10</v>
      </c>
      <c r="L20" s="295">
        <f t="shared" si="5"/>
        <v>90</v>
      </c>
    </row>
    <row r="21" spans="1:12" ht="42.85" customHeight="1">
      <c r="A21" s="311" t="s">
        <v>102</v>
      </c>
      <c r="B21" s="301" t="s">
        <v>714</v>
      </c>
      <c r="C21" s="294"/>
      <c r="D21" s="382">
        <f t="shared" si="4"/>
        <v>35</v>
      </c>
      <c r="E21" s="295"/>
      <c r="F21" s="295"/>
      <c r="G21" s="295"/>
      <c r="H21" s="295"/>
      <c r="I21" s="296"/>
      <c r="J21" s="295">
        <v>35</v>
      </c>
      <c r="K21" s="295">
        <f t="shared" si="6"/>
        <v>3.5</v>
      </c>
      <c r="L21" s="295">
        <f t="shared" si="5"/>
        <v>31.5</v>
      </c>
    </row>
    <row r="22" spans="1:12" ht="21" customHeight="1">
      <c r="A22" s="311" t="s">
        <v>102</v>
      </c>
      <c r="B22" s="301" t="s">
        <v>713</v>
      </c>
      <c r="C22" s="294"/>
      <c r="D22" s="382">
        <f t="shared" si="4"/>
        <v>180</v>
      </c>
      <c r="E22" s="295"/>
      <c r="F22" s="295"/>
      <c r="G22" s="295"/>
      <c r="H22" s="295"/>
      <c r="I22" s="296"/>
      <c r="J22" s="295">
        <v>180</v>
      </c>
      <c r="K22" s="295">
        <f t="shared" si="6"/>
        <v>18</v>
      </c>
      <c r="L22" s="295">
        <f t="shared" si="5"/>
        <v>162</v>
      </c>
    </row>
    <row r="23" spans="1:12" ht="21" customHeight="1">
      <c r="A23" s="298">
        <v>2</v>
      </c>
      <c r="B23" s="312" t="s">
        <v>193</v>
      </c>
      <c r="C23" s="322">
        <f>SUM(C24:C34)</f>
        <v>14</v>
      </c>
      <c r="D23" s="299">
        <f>SUM(D24:D36)</f>
        <v>4372.2870000000385</v>
      </c>
      <c r="E23" s="299">
        <f t="shared" ref="E23:L23" si="7">SUM(E24:E36)</f>
        <v>2686.2870000000385</v>
      </c>
      <c r="F23" s="299">
        <f t="shared" si="7"/>
        <v>1628.6160000000389</v>
      </c>
      <c r="G23" s="299">
        <f t="shared" si="7"/>
        <v>342.68599999999998</v>
      </c>
      <c r="H23" s="299">
        <f t="shared" si="7"/>
        <v>714.98500000000001</v>
      </c>
      <c r="I23" s="299">
        <f t="shared" si="7"/>
        <v>756</v>
      </c>
      <c r="J23" s="299">
        <f>SUM(J24:J36)</f>
        <v>930</v>
      </c>
      <c r="K23" s="299">
        <f t="shared" si="7"/>
        <v>162.49</v>
      </c>
      <c r="L23" s="299">
        <f t="shared" si="7"/>
        <v>4091.7490000000389</v>
      </c>
    </row>
    <row r="24" spans="1:12" s="388" customFormat="1" ht="21" customHeight="1">
      <c r="A24" s="379" t="s">
        <v>102</v>
      </c>
      <c r="B24" s="380" t="s">
        <v>211</v>
      </c>
      <c r="C24" s="381">
        <v>14</v>
      </c>
      <c r="D24" s="382">
        <f t="shared" ref="D24:D36" si="8">E24+I24+J24</f>
        <v>3324.2390000000387</v>
      </c>
      <c r="E24" s="295">
        <f>F24+G24+H24</f>
        <v>2568.2390000000387</v>
      </c>
      <c r="F24" s="295">
        <f>1647.105-2.07699999996112-0.32-16.092</f>
        <v>1628.6160000000389</v>
      </c>
      <c r="G24" s="295">
        <v>342.68599999999998</v>
      </c>
      <c r="H24" s="295">
        <v>596.93700000000001</v>
      </c>
      <c r="I24" s="295">
        <f>(C24*27*2)</f>
        <v>756</v>
      </c>
      <c r="J24" s="382"/>
      <c r="K24" s="382">
        <f>(I24+J24)*10%</f>
        <v>75.600000000000009</v>
      </c>
      <c r="L24" s="382">
        <f t="shared" ref="L24:L36" si="9">D24-K24</f>
        <v>3248.6390000000388</v>
      </c>
    </row>
    <row r="25" spans="1:12" s="388" customFormat="1" ht="21" customHeight="1">
      <c r="A25" s="309" t="s">
        <v>102</v>
      </c>
      <c r="B25" s="304" t="s">
        <v>864</v>
      </c>
      <c r="C25" s="381"/>
      <c r="D25" s="382">
        <f t="shared" si="8"/>
        <v>118.048</v>
      </c>
      <c r="E25" s="295">
        <f>F25+G25+H25</f>
        <v>118.048</v>
      </c>
      <c r="F25" s="295"/>
      <c r="G25" s="295"/>
      <c r="H25" s="295">
        <v>118.048</v>
      </c>
      <c r="I25" s="295"/>
      <c r="J25" s="382"/>
      <c r="K25" s="382"/>
      <c r="L25" s="382"/>
    </row>
    <row r="26" spans="1:12" ht="21" customHeight="1">
      <c r="A26" s="300" t="s">
        <v>102</v>
      </c>
      <c r="B26" s="335" t="s">
        <v>580</v>
      </c>
      <c r="C26" s="294"/>
      <c r="D26" s="382">
        <f t="shared" si="8"/>
        <v>30</v>
      </c>
      <c r="E26" s="295"/>
      <c r="F26" s="295"/>
      <c r="G26" s="295"/>
      <c r="H26" s="295"/>
      <c r="I26" s="295"/>
      <c r="J26" s="295">
        <v>30</v>
      </c>
      <c r="K26" s="295">
        <f t="shared" ref="K26:K89" si="10">(I26+J26)*10%</f>
        <v>3</v>
      </c>
      <c r="L26" s="295">
        <f t="shared" si="9"/>
        <v>27</v>
      </c>
    </row>
    <row r="27" spans="1:12" ht="48.4" customHeight="1">
      <c r="A27" s="300" t="s">
        <v>102</v>
      </c>
      <c r="B27" s="335" t="s">
        <v>736</v>
      </c>
      <c r="C27" s="294"/>
      <c r="D27" s="382">
        <f t="shared" si="8"/>
        <v>50</v>
      </c>
      <c r="E27" s="295"/>
      <c r="F27" s="295"/>
      <c r="G27" s="295"/>
      <c r="H27" s="295"/>
      <c r="I27" s="295"/>
      <c r="J27" s="295">
        <v>50</v>
      </c>
      <c r="K27" s="295">
        <f t="shared" ref="K27" si="11">(I27+J27)*10%</f>
        <v>5</v>
      </c>
      <c r="L27" s="295">
        <f t="shared" si="9"/>
        <v>45</v>
      </c>
    </row>
    <row r="28" spans="1:12" ht="26.75" customHeight="1">
      <c r="A28" s="300" t="s">
        <v>102</v>
      </c>
      <c r="B28" s="335" t="s">
        <v>789</v>
      </c>
      <c r="C28" s="294"/>
      <c r="D28" s="382">
        <f t="shared" si="8"/>
        <v>300</v>
      </c>
      <c r="E28" s="295"/>
      <c r="F28" s="295"/>
      <c r="G28" s="295"/>
      <c r="H28" s="295"/>
      <c r="I28" s="295"/>
      <c r="J28" s="295">
        <v>300</v>
      </c>
      <c r="K28" s="295">
        <f t="shared" ref="K28" si="12">(I28+J28)*10%</f>
        <v>30</v>
      </c>
      <c r="L28" s="295">
        <f t="shared" si="9"/>
        <v>270</v>
      </c>
    </row>
    <row r="29" spans="1:12" ht="44.35" customHeight="1">
      <c r="A29" s="300" t="s">
        <v>102</v>
      </c>
      <c r="B29" s="301" t="s">
        <v>674</v>
      </c>
      <c r="C29" s="547"/>
      <c r="D29" s="382">
        <f t="shared" si="8"/>
        <v>90</v>
      </c>
      <c r="E29" s="295"/>
      <c r="F29" s="295"/>
      <c r="G29" s="295"/>
      <c r="H29" s="295"/>
      <c r="I29" s="295"/>
      <c r="J29" s="295">
        <v>90</v>
      </c>
      <c r="K29" s="295">
        <f>(I29+J29)*10%-6.11</f>
        <v>2.8899999999999997</v>
      </c>
      <c r="L29" s="295">
        <f t="shared" si="9"/>
        <v>87.11</v>
      </c>
    </row>
    <row r="30" spans="1:12" ht="30.75">
      <c r="A30" s="300" t="s">
        <v>102</v>
      </c>
      <c r="B30" s="548" t="s">
        <v>615</v>
      </c>
      <c r="C30" s="547"/>
      <c r="D30" s="382">
        <f t="shared" si="8"/>
        <v>100</v>
      </c>
      <c r="E30" s="295"/>
      <c r="F30" s="295"/>
      <c r="G30" s="295"/>
      <c r="H30" s="295"/>
      <c r="I30" s="295"/>
      <c r="J30" s="295">
        <v>100</v>
      </c>
      <c r="K30" s="295">
        <f>(I30+J30)*10%</f>
        <v>10</v>
      </c>
      <c r="L30" s="295">
        <f t="shared" si="9"/>
        <v>90</v>
      </c>
    </row>
    <row r="31" spans="1:12" ht="42.85" customHeight="1">
      <c r="A31" s="300" t="s">
        <v>102</v>
      </c>
      <c r="B31" s="301" t="s">
        <v>735</v>
      </c>
      <c r="C31" s="547"/>
      <c r="D31" s="382">
        <f t="shared" si="8"/>
        <v>100</v>
      </c>
      <c r="E31" s="295"/>
      <c r="F31" s="295"/>
      <c r="G31" s="295"/>
      <c r="H31" s="295"/>
      <c r="I31" s="295"/>
      <c r="J31" s="295">
        <v>100</v>
      </c>
      <c r="K31" s="295">
        <f>(I31+J31)*10%</f>
        <v>10</v>
      </c>
      <c r="L31" s="295">
        <f t="shared" si="9"/>
        <v>90</v>
      </c>
    </row>
    <row r="32" spans="1:12" ht="20.350000000000001" customHeight="1">
      <c r="A32" s="300" t="s">
        <v>102</v>
      </c>
      <c r="B32" s="301" t="s">
        <v>616</v>
      </c>
      <c r="C32" s="547"/>
      <c r="D32" s="382">
        <f t="shared" si="8"/>
        <v>20</v>
      </c>
      <c r="E32" s="295"/>
      <c r="F32" s="295"/>
      <c r="G32" s="295"/>
      <c r="H32" s="295"/>
      <c r="I32" s="295"/>
      <c r="J32" s="295">
        <v>20</v>
      </c>
      <c r="K32" s="295">
        <f>(I32+J32)*10%</f>
        <v>2</v>
      </c>
      <c r="L32" s="295">
        <f t="shared" si="9"/>
        <v>18</v>
      </c>
    </row>
    <row r="33" spans="1:12" ht="20.350000000000001" customHeight="1">
      <c r="A33" s="300" t="s">
        <v>102</v>
      </c>
      <c r="B33" s="301" t="s">
        <v>602</v>
      </c>
      <c r="C33" s="294"/>
      <c r="D33" s="382">
        <f t="shared" si="8"/>
        <v>30</v>
      </c>
      <c r="E33" s="295"/>
      <c r="F33" s="295"/>
      <c r="G33" s="295"/>
      <c r="H33" s="295"/>
      <c r="I33" s="295"/>
      <c r="J33" s="295">
        <v>30</v>
      </c>
      <c r="K33" s="295">
        <f t="shared" si="10"/>
        <v>3</v>
      </c>
      <c r="L33" s="295">
        <f t="shared" si="9"/>
        <v>27</v>
      </c>
    </row>
    <row r="34" spans="1:12" ht="20.350000000000001" customHeight="1">
      <c r="A34" s="300" t="s">
        <v>102</v>
      </c>
      <c r="B34" s="301" t="s">
        <v>282</v>
      </c>
      <c r="C34" s="547"/>
      <c r="D34" s="382">
        <f t="shared" si="8"/>
        <v>50</v>
      </c>
      <c r="E34" s="295"/>
      <c r="F34" s="295"/>
      <c r="G34" s="295"/>
      <c r="H34" s="295"/>
      <c r="I34" s="295"/>
      <c r="J34" s="295">
        <v>50</v>
      </c>
      <c r="K34" s="295">
        <f>(I34+J34)*10%</f>
        <v>5</v>
      </c>
      <c r="L34" s="295">
        <f t="shared" si="9"/>
        <v>45</v>
      </c>
    </row>
    <row r="35" spans="1:12" ht="51" customHeight="1">
      <c r="A35" s="300" t="s">
        <v>102</v>
      </c>
      <c r="B35" s="489" t="s">
        <v>715</v>
      </c>
      <c r="C35" s="547"/>
      <c r="D35" s="382">
        <f t="shared" si="8"/>
        <v>80</v>
      </c>
      <c r="E35" s="295"/>
      <c r="F35" s="295"/>
      <c r="G35" s="295"/>
      <c r="H35" s="295"/>
      <c r="I35" s="295"/>
      <c r="J35" s="295">
        <v>80</v>
      </c>
      <c r="K35" s="295">
        <f t="shared" ref="K35" si="13">(I35+J35)*10%</f>
        <v>8</v>
      </c>
      <c r="L35" s="295">
        <f t="shared" si="9"/>
        <v>72</v>
      </c>
    </row>
    <row r="36" spans="1:12" ht="99" customHeight="1">
      <c r="A36" s="300" t="s">
        <v>102</v>
      </c>
      <c r="B36" s="301" t="s">
        <v>750</v>
      </c>
      <c r="C36" s="547"/>
      <c r="D36" s="382">
        <f t="shared" si="8"/>
        <v>80</v>
      </c>
      <c r="E36" s="295"/>
      <c r="F36" s="295"/>
      <c r="G36" s="295"/>
      <c r="H36" s="295"/>
      <c r="I36" s="295"/>
      <c r="J36" s="295">
        <v>80</v>
      </c>
      <c r="K36" s="295">
        <f t="shared" ref="K36" si="14">(I36+J36)*10%</f>
        <v>8</v>
      </c>
      <c r="L36" s="295">
        <f t="shared" si="9"/>
        <v>72</v>
      </c>
    </row>
    <row r="37" spans="1:12" s="357" customFormat="1" ht="19.899999999999999" customHeight="1">
      <c r="A37" s="298">
        <v>3</v>
      </c>
      <c r="B37" s="288" t="s">
        <v>71</v>
      </c>
      <c r="C37" s="547">
        <f>C38</f>
        <v>7</v>
      </c>
      <c r="D37" s="299">
        <f>SUM(D38:D45)</f>
        <v>1742.3979999999999</v>
      </c>
      <c r="E37" s="299">
        <f t="shared" ref="E37:L37" si="15">SUM(E38:E45)</f>
        <v>1389.9979999999998</v>
      </c>
      <c r="F37" s="299">
        <f t="shared" si="15"/>
        <v>844.80100000000004</v>
      </c>
      <c r="G37" s="299">
        <f t="shared" si="15"/>
        <v>175.76400000000001</v>
      </c>
      <c r="H37" s="299">
        <f t="shared" si="15"/>
        <v>369.43299999999999</v>
      </c>
      <c r="I37" s="299">
        <f t="shared" si="15"/>
        <v>189</v>
      </c>
      <c r="J37" s="299">
        <f t="shared" si="15"/>
        <v>163.4</v>
      </c>
      <c r="K37" s="299">
        <f t="shared" si="15"/>
        <v>35.24</v>
      </c>
      <c r="L37" s="299">
        <f t="shared" si="15"/>
        <v>1643.8939999999998</v>
      </c>
    </row>
    <row r="38" spans="1:12" ht="19.899999999999999" customHeight="1">
      <c r="A38" s="293" t="s">
        <v>102</v>
      </c>
      <c r="B38" s="292" t="s">
        <v>211</v>
      </c>
      <c r="C38" s="294">
        <v>7</v>
      </c>
      <c r="D38" s="382">
        <f t="shared" ref="D38:D45" si="16">E38+I38+J38</f>
        <v>1515.7339999999999</v>
      </c>
      <c r="E38" s="295">
        <f>F38+G38+H38</f>
        <v>1326.7339999999999</v>
      </c>
      <c r="F38" s="295">
        <v>844.80100000000004</v>
      </c>
      <c r="G38" s="295">
        <v>175.76400000000001</v>
      </c>
      <c r="H38" s="295">
        <v>306.16899999999998</v>
      </c>
      <c r="I38" s="295">
        <f>C38*27</f>
        <v>189</v>
      </c>
      <c r="J38" s="295"/>
      <c r="K38" s="295">
        <f>(I38+J38)*10%</f>
        <v>18.900000000000002</v>
      </c>
      <c r="L38" s="295">
        <f t="shared" ref="L38:L45" si="17">D38-K38</f>
        <v>1496.8339999999998</v>
      </c>
    </row>
    <row r="39" spans="1:12" ht="19.899999999999999" customHeight="1">
      <c r="A39" s="309" t="s">
        <v>102</v>
      </c>
      <c r="B39" s="304" t="s">
        <v>864</v>
      </c>
      <c r="C39" s="294"/>
      <c r="D39" s="382">
        <f t="shared" si="16"/>
        <v>63.264000000000003</v>
      </c>
      <c r="E39" s="295">
        <f>F39+G39+H39</f>
        <v>63.264000000000003</v>
      </c>
      <c r="F39" s="295"/>
      <c r="G39" s="295"/>
      <c r="H39" s="295">
        <v>63.264000000000003</v>
      </c>
      <c r="I39" s="295"/>
      <c r="J39" s="295"/>
      <c r="K39" s="295"/>
      <c r="L39" s="295"/>
    </row>
    <row r="40" spans="1:12" ht="19.899999999999999" customHeight="1">
      <c r="A40" s="293" t="s">
        <v>102</v>
      </c>
      <c r="B40" s="292" t="s">
        <v>580</v>
      </c>
      <c r="C40" s="294"/>
      <c r="D40" s="382">
        <f t="shared" si="16"/>
        <v>23.4</v>
      </c>
      <c r="E40" s="296"/>
      <c r="F40" s="296"/>
      <c r="G40" s="296"/>
      <c r="H40" s="296"/>
      <c r="I40" s="296"/>
      <c r="J40" s="295">
        <v>23.4</v>
      </c>
      <c r="K40" s="295">
        <f>(I40+J40)*10%</f>
        <v>2.34</v>
      </c>
      <c r="L40" s="295">
        <f t="shared" si="17"/>
        <v>21.06</v>
      </c>
    </row>
    <row r="41" spans="1:12" ht="19.899999999999999" customHeight="1">
      <c r="A41" s="293" t="s">
        <v>102</v>
      </c>
      <c r="B41" s="292" t="s">
        <v>316</v>
      </c>
      <c r="C41" s="294"/>
      <c r="D41" s="382">
        <f t="shared" si="16"/>
        <v>20</v>
      </c>
      <c r="E41" s="296"/>
      <c r="F41" s="296"/>
      <c r="G41" s="296"/>
      <c r="H41" s="296"/>
      <c r="I41" s="296"/>
      <c r="J41" s="295">
        <v>20</v>
      </c>
      <c r="K41" s="295">
        <f>(I41+J41)*10%</f>
        <v>2</v>
      </c>
      <c r="L41" s="295">
        <f t="shared" si="17"/>
        <v>18</v>
      </c>
    </row>
    <row r="42" spans="1:12" ht="19.899999999999999" customHeight="1">
      <c r="A42" s="293" t="s">
        <v>102</v>
      </c>
      <c r="B42" s="292" t="s">
        <v>329</v>
      </c>
      <c r="C42" s="294"/>
      <c r="D42" s="382">
        <f t="shared" si="16"/>
        <v>30</v>
      </c>
      <c r="E42" s="296"/>
      <c r="F42" s="296"/>
      <c r="G42" s="296"/>
      <c r="H42" s="296"/>
      <c r="I42" s="296"/>
      <c r="J42" s="295">
        <v>30</v>
      </c>
      <c r="K42" s="295">
        <f t="shared" si="10"/>
        <v>3</v>
      </c>
      <c r="L42" s="295">
        <f t="shared" si="17"/>
        <v>27</v>
      </c>
    </row>
    <row r="43" spans="1:12" ht="33" customHeight="1">
      <c r="A43" s="293" t="s">
        <v>102</v>
      </c>
      <c r="B43" s="292" t="s">
        <v>765</v>
      </c>
      <c r="C43" s="294"/>
      <c r="D43" s="382">
        <f t="shared" si="16"/>
        <v>30</v>
      </c>
      <c r="E43" s="296"/>
      <c r="F43" s="296"/>
      <c r="G43" s="296"/>
      <c r="H43" s="296"/>
      <c r="I43" s="296"/>
      <c r="J43" s="295">
        <v>30</v>
      </c>
      <c r="K43" s="295">
        <f t="shared" si="10"/>
        <v>3</v>
      </c>
      <c r="L43" s="295">
        <f t="shared" si="17"/>
        <v>27</v>
      </c>
    </row>
    <row r="44" spans="1:12" ht="31.5" customHeight="1">
      <c r="A44" s="293" t="s">
        <v>102</v>
      </c>
      <c r="B44" s="292" t="s">
        <v>570</v>
      </c>
      <c r="C44" s="294"/>
      <c r="D44" s="382">
        <f t="shared" si="16"/>
        <v>30</v>
      </c>
      <c r="E44" s="296"/>
      <c r="F44" s="296"/>
      <c r="G44" s="296"/>
      <c r="H44" s="296"/>
      <c r="I44" s="296"/>
      <c r="J44" s="295">
        <v>30</v>
      </c>
      <c r="K44" s="295">
        <f t="shared" si="10"/>
        <v>3</v>
      </c>
      <c r="L44" s="295">
        <f t="shared" si="17"/>
        <v>27</v>
      </c>
    </row>
    <row r="45" spans="1:12" ht="19.899999999999999" customHeight="1">
      <c r="A45" s="293" t="s">
        <v>102</v>
      </c>
      <c r="B45" s="292" t="s">
        <v>716</v>
      </c>
      <c r="C45" s="294"/>
      <c r="D45" s="382">
        <f t="shared" si="16"/>
        <v>30</v>
      </c>
      <c r="E45" s="296"/>
      <c r="F45" s="296"/>
      <c r="G45" s="296"/>
      <c r="H45" s="296"/>
      <c r="I45" s="296"/>
      <c r="J45" s="295">
        <v>30</v>
      </c>
      <c r="K45" s="295">
        <f t="shared" si="10"/>
        <v>3</v>
      </c>
      <c r="L45" s="295">
        <f t="shared" si="17"/>
        <v>27</v>
      </c>
    </row>
    <row r="46" spans="1:12" s="357" customFormat="1" ht="19.899999999999999" customHeight="1">
      <c r="A46" s="298">
        <v>4</v>
      </c>
      <c r="B46" s="288" t="s">
        <v>65</v>
      </c>
      <c r="C46" s="547">
        <f>C47</f>
        <v>7</v>
      </c>
      <c r="D46" s="299">
        <f>SUM(D47:D50)</f>
        <v>1665.8230000000001</v>
      </c>
      <c r="E46" s="299">
        <f t="shared" ref="E46:L46" si="18">SUM(E47:E50)</f>
        <v>1423.423</v>
      </c>
      <c r="F46" s="299">
        <f t="shared" si="18"/>
        <v>863.43799999999999</v>
      </c>
      <c r="G46" s="299">
        <f t="shared" si="18"/>
        <v>179.64099999999999</v>
      </c>
      <c r="H46" s="299">
        <f t="shared" si="18"/>
        <v>380.34399999999999</v>
      </c>
      <c r="I46" s="299">
        <f t="shared" si="18"/>
        <v>189</v>
      </c>
      <c r="J46" s="299">
        <f t="shared" si="18"/>
        <v>53.4</v>
      </c>
      <c r="K46" s="299">
        <f t="shared" si="18"/>
        <v>24.240000000000002</v>
      </c>
      <c r="L46" s="299">
        <f t="shared" si="18"/>
        <v>1574.1629999999998</v>
      </c>
    </row>
    <row r="47" spans="1:12" ht="19.899999999999999" customHeight="1">
      <c r="A47" s="293" t="s">
        <v>102</v>
      </c>
      <c r="B47" s="292" t="s">
        <v>211</v>
      </c>
      <c r="C47" s="294">
        <v>7</v>
      </c>
      <c r="D47" s="382">
        <f>E47+I47+J47</f>
        <v>1545.0029999999999</v>
      </c>
      <c r="E47" s="295">
        <f>F47+G47+H47</f>
        <v>1356.0029999999999</v>
      </c>
      <c r="F47" s="295">
        <v>863.43799999999999</v>
      </c>
      <c r="G47" s="295">
        <v>179.64099999999999</v>
      </c>
      <c r="H47" s="295">
        <v>312.92399999999998</v>
      </c>
      <c r="I47" s="295">
        <f>C47*27</f>
        <v>189</v>
      </c>
      <c r="J47" s="295"/>
      <c r="K47" s="295">
        <f t="shared" si="10"/>
        <v>18.900000000000002</v>
      </c>
      <c r="L47" s="295">
        <f>D47-K47</f>
        <v>1526.1029999999998</v>
      </c>
    </row>
    <row r="48" spans="1:12" ht="19.899999999999999" customHeight="1">
      <c r="A48" s="309" t="s">
        <v>102</v>
      </c>
      <c r="B48" s="304" t="s">
        <v>864</v>
      </c>
      <c r="C48" s="294"/>
      <c r="D48" s="382">
        <f>E48+I48+J48</f>
        <v>67.42</v>
      </c>
      <c r="E48" s="295">
        <f>F48+G48+H48</f>
        <v>67.42</v>
      </c>
      <c r="F48" s="295"/>
      <c r="G48" s="295"/>
      <c r="H48" s="295">
        <v>67.42</v>
      </c>
      <c r="I48" s="295"/>
      <c r="J48" s="295"/>
      <c r="K48" s="295"/>
      <c r="L48" s="295"/>
    </row>
    <row r="49" spans="1:12" ht="19.899999999999999" customHeight="1">
      <c r="A49" s="293" t="s">
        <v>102</v>
      </c>
      <c r="B49" s="292" t="s">
        <v>580</v>
      </c>
      <c r="C49" s="294"/>
      <c r="D49" s="382">
        <f>E49+I49+J49</f>
        <v>23.4</v>
      </c>
      <c r="E49" s="295"/>
      <c r="F49" s="295"/>
      <c r="G49" s="295"/>
      <c r="H49" s="295"/>
      <c r="I49" s="295"/>
      <c r="J49" s="295">
        <v>23.4</v>
      </c>
      <c r="K49" s="295">
        <f t="shared" si="10"/>
        <v>2.34</v>
      </c>
      <c r="L49" s="295">
        <f>D49-K49</f>
        <v>21.06</v>
      </c>
    </row>
    <row r="50" spans="1:12" ht="19.899999999999999" customHeight="1">
      <c r="A50" s="293" t="s">
        <v>102</v>
      </c>
      <c r="B50" s="292" t="s">
        <v>767</v>
      </c>
      <c r="C50" s="294"/>
      <c r="D50" s="382">
        <f>E50+I50+J50</f>
        <v>30</v>
      </c>
      <c r="E50" s="295"/>
      <c r="F50" s="295"/>
      <c r="G50" s="295"/>
      <c r="H50" s="295"/>
      <c r="I50" s="295"/>
      <c r="J50" s="295">
        <v>30</v>
      </c>
      <c r="K50" s="295">
        <f t="shared" ref="K50" si="19">(I50+J50)*10%</f>
        <v>3</v>
      </c>
      <c r="L50" s="295">
        <f>D50-K50</f>
        <v>27</v>
      </c>
    </row>
    <row r="51" spans="1:12" s="357" customFormat="1" ht="19.899999999999999" customHeight="1">
      <c r="A51" s="298">
        <v>5</v>
      </c>
      <c r="B51" s="288" t="s">
        <v>74</v>
      </c>
      <c r="C51" s="547">
        <f>C52</f>
        <v>2</v>
      </c>
      <c r="D51" s="299">
        <f>SUM(D52:D55)</f>
        <v>563.18700000000001</v>
      </c>
      <c r="E51" s="299">
        <f t="shared" ref="E51:L51" si="20">SUM(E52:E55)</f>
        <v>450.387</v>
      </c>
      <c r="F51" s="299">
        <f t="shared" si="20"/>
        <v>273.161</v>
      </c>
      <c r="G51" s="299">
        <f t="shared" si="20"/>
        <v>56.832000000000001</v>
      </c>
      <c r="H51" s="299">
        <f t="shared" si="20"/>
        <v>120.39400000000001</v>
      </c>
      <c r="I51" s="299">
        <f t="shared" si="20"/>
        <v>59.400000000000006</v>
      </c>
      <c r="J51" s="299">
        <f t="shared" si="20"/>
        <v>53.4</v>
      </c>
      <c r="K51" s="299">
        <f t="shared" si="20"/>
        <v>11.280000000000001</v>
      </c>
      <c r="L51" s="299">
        <f t="shared" si="20"/>
        <v>530.51099999999997</v>
      </c>
    </row>
    <row r="52" spans="1:12" ht="19.899999999999999" customHeight="1">
      <c r="A52" s="300" t="s">
        <v>102</v>
      </c>
      <c r="B52" s="292" t="s">
        <v>211</v>
      </c>
      <c r="C52" s="294">
        <v>2</v>
      </c>
      <c r="D52" s="382">
        <f>E52+I52+J52</f>
        <v>488.39099999999996</v>
      </c>
      <c r="E52" s="295">
        <f>F52+G52+H52</f>
        <v>428.99099999999999</v>
      </c>
      <c r="F52" s="295">
        <v>273.161</v>
      </c>
      <c r="G52" s="295">
        <v>56.832000000000001</v>
      </c>
      <c r="H52" s="295">
        <v>98.998000000000005</v>
      </c>
      <c r="I52" s="295">
        <f>C52*27*1.1</f>
        <v>59.400000000000006</v>
      </c>
      <c r="J52" s="295"/>
      <c r="K52" s="295">
        <f>(I52+J52)*10%</f>
        <v>5.9400000000000013</v>
      </c>
      <c r="L52" s="295">
        <f>D52-K52</f>
        <v>482.45099999999996</v>
      </c>
    </row>
    <row r="53" spans="1:12" ht="19.899999999999999" customHeight="1">
      <c r="A53" s="309" t="s">
        <v>102</v>
      </c>
      <c r="B53" s="304" t="s">
        <v>864</v>
      </c>
      <c r="C53" s="294"/>
      <c r="D53" s="382">
        <f>E53+I53+J53</f>
        <v>21.396000000000001</v>
      </c>
      <c r="E53" s="295">
        <f>F53+G53+H53</f>
        <v>21.396000000000001</v>
      </c>
      <c r="F53" s="295"/>
      <c r="G53" s="295"/>
      <c r="H53" s="295">
        <v>21.396000000000001</v>
      </c>
      <c r="I53" s="295"/>
      <c r="J53" s="295"/>
      <c r="K53" s="295"/>
      <c r="L53" s="295"/>
    </row>
    <row r="54" spans="1:12" ht="19.899999999999999" customHeight="1">
      <c r="A54" s="300" t="s">
        <v>102</v>
      </c>
      <c r="B54" s="292" t="s">
        <v>580</v>
      </c>
      <c r="C54" s="294"/>
      <c r="D54" s="382">
        <f>E54+I54+J54</f>
        <v>23.4</v>
      </c>
      <c r="E54" s="295"/>
      <c r="F54" s="295"/>
      <c r="G54" s="295"/>
      <c r="H54" s="295"/>
      <c r="I54" s="295"/>
      <c r="J54" s="295">
        <v>23.4</v>
      </c>
      <c r="K54" s="295">
        <f t="shared" si="10"/>
        <v>2.34</v>
      </c>
      <c r="L54" s="295">
        <f>D54-K54</f>
        <v>21.06</v>
      </c>
    </row>
    <row r="55" spans="1:12" ht="50.75" customHeight="1">
      <c r="A55" s="300" t="s">
        <v>102</v>
      </c>
      <c r="B55" s="301" t="s">
        <v>788</v>
      </c>
      <c r="C55" s="294"/>
      <c r="D55" s="382">
        <f>E55+I55+J55</f>
        <v>30</v>
      </c>
      <c r="E55" s="295"/>
      <c r="F55" s="295"/>
      <c r="G55" s="295"/>
      <c r="H55" s="295"/>
      <c r="I55" s="295"/>
      <c r="J55" s="295">
        <v>30</v>
      </c>
      <c r="K55" s="295">
        <f t="shared" si="10"/>
        <v>3</v>
      </c>
      <c r="L55" s="295">
        <f>D55-K55</f>
        <v>27</v>
      </c>
    </row>
    <row r="56" spans="1:12" ht="20.75" customHeight="1">
      <c r="A56" s="298">
        <v>6</v>
      </c>
      <c r="B56" s="288" t="s">
        <v>260</v>
      </c>
      <c r="C56" s="547">
        <f>C57</f>
        <v>5</v>
      </c>
      <c r="D56" s="299">
        <f>SUM(D57:D60)</f>
        <v>991.06799999999998</v>
      </c>
      <c r="E56" s="299">
        <f t="shared" ref="E56:L56" si="21">SUM(E57:E60)</f>
        <v>804.16800000000001</v>
      </c>
      <c r="F56" s="299">
        <f t="shared" si="21"/>
        <v>492.56700000000001</v>
      </c>
      <c r="G56" s="299">
        <f t="shared" si="21"/>
        <v>102.48</v>
      </c>
      <c r="H56" s="299">
        <f t="shared" si="21"/>
        <v>209.12100000000001</v>
      </c>
      <c r="I56" s="299">
        <f t="shared" si="21"/>
        <v>148.5</v>
      </c>
      <c r="J56" s="299">
        <f t="shared" si="21"/>
        <v>38.4</v>
      </c>
      <c r="K56" s="299">
        <f>SUM(K57:K60)</f>
        <v>18.690000000000001</v>
      </c>
      <c r="L56" s="299">
        <f t="shared" si="21"/>
        <v>941.77099999999996</v>
      </c>
    </row>
    <row r="57" spans="1:12" ht="20.75" customHeight="1">
      <c r="A57" s="300" t="s">
        <v>102</v>
      </c>
      <c r="B57" s="292" t="s">
        <v>211</v>
      </c>
      <c r="C57" s="294">
        <v>5</v>
      </c>
      <c r="D57" s="382">
        <f>E57+I57+J57</f>
        <v>922.06100000000004</v>
      </c>
      <c r="E57" s="295">
        <f>F57+G57+H57</f>
        <v>773.56100000000004</v>
      </c>
      <c r="F57" s="295">
        <v>492.56700000000001</v>
      </c>
      <c r="G57" s="295">
        <v>102.48</v>
      </c>
      <c r="H57" s="295">
        <v>178.51400000000001</v>
      </c>
      <c r="I57" s="295">
        <f>C57*27*1.1</f>
        <v>148.5</v>
      </c>
      <c r="J57" s="295"/>
      <c r="K57" s="295">
        <f>(I57+J57)*10%</f>
        <v>14.850000000000001</v>
      </c>
      <c r="L57" s="295">
        <f>D57-K57</f>
        <v>907.21100000000001</v>
      </c>
    </row>
    <row r="58" spans="1:12" ht="20.75" customHeight="1">
      <c r="A58" s="309" t="s">
        <v>102</v>
      </c>
      <c r="B58" s="304" t="s">
        <v>864</v>
      </c>
      <c r="C58" s="294"/>
      <c r="D58" s="382">
        <f>E58+I58+J58</f>
        <v>30.606999999999999</v>
      </c>
      <c r="E58" s="295">
        <f>F58+G58+H58</f>
        <v>30.606999999999999</v>
      </c>
      <c r="F58" s="295"/>
      <c r="G58" s="295"/>
      <c r="H58" s="295">
        <v>30.606999999999999</v>
      </c>
      <c r="I58" s="295"/>
      <c r="J58" s="295"/>
      <c r="K58" s="295"/>
      <c r="L58" s="295"/>
    </row>
    <row r="59" spans="1:12" ht="20.75" customHeight="1">
      <c r="A59" s="300" t="s">
        <v>102</v>
      </c>
      <c r="B59" s="292" t="s">
        <v>592</v>
      </c>
      <c r="C59" s="294"/>
      <c r="D59" s="382">
        <f>E59+I59+J59</f>
        <v>15</v>
      </c>
      <c r="E59" s="295"/>
      <c r="F59" s="295"/>
      <c r="G59" s="295"/>
      <c r="H59" s="295"/>
      <c r="I59" s="295"/>
      <c r="J59" s="295">
        <v>15</v>
      </c>
      <c r="K59" s="295">
        <f t="shared" si="10"/>
        <v>1.5</v>
      </c>
      <c r="L59" s="295">
        <f>D59-K59</f>
        <v>13.5</v>
      </c>
    </row>
    <row r="60" spans="1:12" ht="20.75" customHeight="1">
      <c r="A60" s="300" t="s">
        <v>102</v>
      </c>
      <c r="B60" s="292" t="s">
        <v>580</v>
      </c>
      <c r="C60" s="294"/>
      <c r="D60" s="382">
        <f>E60+I60+J60</f>
        <v>23.4</v>
      </c>
      <c r="E60" s="295"/>
      <c r="F60" s="295"/>
      <c r="G60" s="295"/>
      <c r="H60" s="295"/>
      <c r="I60" s="295"/>
      <c r="J60" s="295">
        <v>23.4</v>
      </c>
      <c r="K60" s="295">
        <f t="shared" si="10"/>
        <v>2.34</v>
      </c>
      <c r="L60" s="295">
        <f>D60-K60</f>
        <v>21.06</v>
      </c>
    </row>
    <row r="61" spans="1:12" ht="20.75" customHeight="1">
      <c r="A61" s="298">
        <v>7</v>
      </c>
      <c r="B61" s="288" t="s">
        <v>76</v>
      </c>
      <c r="C61" s="547">
        <f>C62</f>
        <v>7</v>
      </c>
      <c r="D61" s="299">
        <f t="shared" ref="D61:L61" si="22">SUM(D62:D67)</f>
        <v>1521.4849999999999</v>
      </c>
      <c r="E61" s="299">
        <f t="shared" si="22"/>
        <v>1219.0849999999998</v>
      </c>
      <c r="F61" s="299">
        <f t="shared" si="22"/>
        <v>742.23</v>
      </c>
      <c r="G61" s="299">
        <f t="shared" si="22"/>
        <v>154.423</v>
      </c>
      <c r="H61" s="299">
        <f t="shared" si="22"/>
        <v>322.43199999999996</v>
      </c>
      <c r="I61" s="299">
        <f t="shared" si="22"/>
        <v>189</v>
      </c>
      <c r="J61" s="299">
        <f t="shared" si="22"/>
        <v>113.4</v>
      </c>
      <c r="K61" s="299">
        <f t="shared" si="22"/>
        <v>30.240000000000002</v>
      </c>
      <c r="L61" s="299">
        <f t="shared" si="22"/>
        <v>1437.8089999999997</v>
      </c>
    </row>
    <row r="62" spans="1:12" ht="20.75" customHeight="1">
      <c r="A62" s="300" t="s">
        <v>102</v>
      </c>
      <c r="B62" s="292" t="s">
        <v>211</v>
      </c>
      <c r="C62" s="294">
        <v>7</v>
      </c>
      <c r="D62" s="382">
        <f t="shared" ref="D62:D67" si="23">E62+I62+J62</f>
        <v>1354.6489999999999</v>
      </c>
      <c r="E62" s="295">
        <f>F62+G62+H62</f>
        <v>1165.6489999999999</v>
      </c>
      <c r="F62" s="295">
        <v>742.23</v>
      </c>
      <c r="G62" s="295">
        <v>154.423</v>
      </c>
      <c r="H62" s="295">
        <v>268.99599999999998</v>
      </c>
      <c r="I62" s="295">
        <f>C62*27</f>
        <v>189</v>
      </c>
      <c r="J62" s="295"/>
      <c r="K62" s="295">
        <f t="shared" si="10"/>
        <v>18.900000000000002</v>
      </c>
      <c r="L62" s="295">
        <f t="shared" ref="L62:L67" si="24">D62-K62</f>
        <v>1335.7489999999998</v>
      </c>
    </row>
    <row r="63" spans="1:12" ht="20.75" customHeight="1">
      <c r="A63" s="309" t="s">
        <v>102</v>
      </c>
      <c r="B63" s="304" t="s">
        <v>864</v>
      </c>
      <c r="C63" s="294"/>
      <c r="D63" s="382">
        <f t="shared" si="23"/>
        <v>53.436</v>
      </c>
      <c r="E63" s="295">
        <f>F63+G63+H63</f>
        <v>53.436</v>
      </c>
      <c r="F63" s="295"/>
      <c r="G63" s="295"/>
      <c r="H63" s="295">
        <v>53.436</v>
      </c>
      <c r="I63" s="295"/>
      <c r="J63" s="295"/>
      <c r="K63" s="295"/>
      <c r="L63" s="295"/>
    </row>
    <row r="64" spans="1:12" ht="20.75" customHeight="1">
      <c r="A64" s="300" t="s">
        <v>102</v>
      </c>
      <c r="B64" s="292" t="s">
        <v>580</v>
      </c>
      <c r="C64" s="294"/>
      <c r="D64" s="382">
        <f t="shared" si="23"/>
        <v>23.4</v>
      </c>
      <c r="E64" s="295"/>
      <c r="F64" s="295"/>
      <c r="G64" s="295"/>
      <c r="H64" s="295"/>
      <c r="I64" s="295"/>
      <c r="J64" s="295">
        <v>23.4</v>
      </c>
      <c r="K64" s="295">
        <f t="shared" si="10"/>
        <v>2.34</v>
      </c>
      <c r="L64" s="295">
        <f t="shared" si="24"/>
        <v>21.06</v>
      </c>
    </row>
    <row r="65" spans="1:12">
      <c r="A65" s="300" t="s">
        <v>102</v>
      </c>
      <c r="B65" s="292" t="s">
        <v>737</v>
      </c>
      <c r="C65" s="294"/>
      <c r="D65" s="382">
        <f t="shared" si="23"/>
        <v>30</v>
      </c>
      <c r="E65" s="295"/>
      <c r="F65" s="295"/>
      <c r="G65" s="295"/>
      <c r="H65" s="295"/>
      <c r="I65" s="295"/>
      <c r="J65" s="295">
        <v>30</v>
      </c>
      <c r="K65" s="295">
        <f t="shared" si="10"/>
        <v>3</v>
      </c>
      <c r="L65" s="295">
        <f t="shared" si="24"/>
        <v>27</v>
      </c>
    </row>
    <row r="66" spans="1:12" ht="19.899999999999999" customHeight="1">
      <c r="A66" s="300" t="s">
        <v>102</v>
      </c>
      <c r="B66" s="301" t="s">
        <v>593</v>
      </c>
      <c r="C66" s="294"/>
      <c r="D66" s="382">
        <f t="shared" si="23"/>
        <v>30</v>
      </c>
      <c r="E66" s="295"/>
      <c r="F66" s="295"/>
      <c r="G66" s="295"/>
      <c r="H66" s="295"/>
      <c r="I66" s="295"/>
      <c r="J66" s="295">
        <v>30</v>
      </c>
      <c r="K66" s="295">
        <f t="shared" si="10"/>
        <v>3</v>
      </c>
      <c r="L66" s="295">
        <f t="shared" si="24"/>
        <v>27</v>
      </c>
    </row>
    <row r="67" spans="1:12" ht="30" customHeight="1">
      <c r="A67" s="300" t="s">
        <v>102</v>
      </c>
      <c r="B67" s="301" t="s">
        <v>673</v>
      </c>
      <c r="C67" s="294"/>
      <c r="D67" s="382">
        <f t="shared" si="23"/>
        <v>30</v>
      </c>
      <c r="E67" s="295"/>
      <c r="F67" s="295"/>
      <c r="G67" s="295"/>
      <c r="H67" s="295"/>
      <c r="I67" s="295"/>
      <c r="J67" s="295">
        <v>30</v>
      </c>
      <c r="K67" s="295">
        <f t="shared" si="10"/>
        <v>3</v>
      </c>
      <c r="L67" s="295">
        <f t="shared" si="24"/>
        <v>27</v>
      </c>
    </row>
    <row r="68" spans="1:12" ht="21.4" customHeight="1">
      <c r="A68" s="298">
        <v>8</v>
      </c>
      <c r="B68" s="288" t="s">
        <v>77</v>
      </c>
      <c r="C68" s="547">
        <f>C69</f>
        <v>4</v>
      </c>
      <c r="D68" s="299">
        <f>SUM(D69:D74)</f>
        <v>871.34199999999998</v>
      </c>
      <c r="E68" s="299">
        <f t="shared" ref="E68:L68" si="25">SUM(E69:E74)</f>
        <v>659.14200000000005</v>
      </c>
      <c r="F68" s="299">
        <f t="shared" si="25"/>
        <v>403.95800000000003</v>
      </c>
      <c r="G68" s="299">
        <f t="shared" si="25"/>
        <v>84.045000000000002</v>
      </c>
      <c r="H68" s="299">
        <f t="shared" si="25"/>
        <v>171.13900000000001</v>
      </c>
      <c r="I68" s="299">
        <f t="shared" si="25"/>
        <v>118.80000000000001</v>
      </c>
      <c r="J68" s="299">
        <f t="shared" si="25"/>
        <v>93.4</v>
      </c>
      <c r="K68" s="299">
        <f>SUM(K69:K74)</f>
        <v>21.220000000000002</v>
      </c>
      <c r="L68" s="299">
        <f t="shared" si="25"/>
        <v>825.3839999999999</v>
      </c>
    </row>
    <row r="69" spans="1:12" ht="21.4" customHeight="1">
      <c r="A69" s="300" t="s">
        <v>102</v>
      </c>
      <c r="B69" s="292" t="s">
        <v>211</v>
      </c>
      <c r="C69" s="294">
        <v>4</v>
      </c>
      <c r="D69" s="382">
        <f t="shared" ref="D69:D74" si="26">E69+I69+J69</f>
        <v>753.20399999999995</v>
      </c>
      <c r="E69" s="295">
        <f>F69+G69+H69</f>
        <v>634.404</v>
      </c>
      <c r="F69" s="295">
        <v>403.95800000000003</v>
      </c>
      <c r="G69" s="295">
        <v>84.045000000000002</v>
      </c>
      <c r="H69" s="295">
        <v>146.40100000000001</v>
      </c>
      <c r="I69" s="295">
        <f>C69*27*1.1</f>
        <v>118.80000000000001</v>
      </c>
      <c r="J69" s="295"/>
      <c r="K69" s="295">
        <f t="shared" si="10"/>
        <v>11.880000000000003</v>
      </c>
      <c r="L69" s="295">
        <f>D69-K69</f>
        <v>741.32399999999996</v>
      </c>
    </row>
    <row r="70" spans="1:12" ht="21.4" customHeight="1">
      <c r="A70" s="309" t="s">
        <v>102</v>
      </c>
      <c r="B70" s="304" t="s">
        <v>864</v>
      </c>
      <c r="C70" s="294"/>
      <c r="D70" s="382">
        <f t="shared" si="26"/>
        <v>24.738</v>
      </c>
      <c r="E70" s="295">
        <f>F70+G70+H70</f>
        <v>24.738</v>
      </c>
      <c r="F70" s="295"/>
      <c r="G70" s="295"/>
      <c r="H70" s="295">
        <v>24.738</v>
      </c>
      <c r="I70" s="295"/>
      <c r="J70" s="295"/>
      <c r="K70" s="295"/>
      <c r="L70" s="295"/>
    </row>
    <row r="71" spans="1:12" ht="21.4" customHeight="1">
      <c r="A71" s="300" t="s">
        <v>102</v>
      </c>
      <c r="B71" s="292" t="s">
        <v>580</v>
      </c>
      <c r="C71" s="294"/>
      <c r="D71" s="382">
        <f t="shared" si="26"/>
        <v>23.4</v>
      </c>
      <c r="E71" s="295"/>
      <c r="F71" s="295"/>
      <c r="G71" s="295"/>
      <c r="H71" s="295"/>
      <c r="I71" s="295"/>
      <c r="J71" s="295">
        <v>23.4</v>
      </c>
      <c r="K71" s="295">
        <f t="shared" si="10"/>
        <v>2.34</v>
      </c>
      <c r="L71" s="295">
        <f>D71-K71</f>
        <v>21.06</v>
      </c>
    </row>
    <row r="72" spans="1:12" ht="21.4" customHeight="1">
      <c r="A72" s="300" t="s">
        <v>102</v>
      </c>
      <c r="B72" s="292" t="s">
        <v>290</v>
      </c>
      <c r="C72" s="294"/>
      <c r="D72" s="382">
        <f t="shared" si="26"/>
        <v>10</v>
      </c>
      <c r="E72" s="295"/>
      <c r="F72" s="295"/>
      <c r="G72" s="295"/>
      <c r="H72" s="295"/>
      <c r="I72" s="295"/>
      <c r="J72" s="295">
        <v>10</v>
      </c>
      <c r="K72" s="295">
        <f t="shared" si="10"/>
        <v>1</v>
      </c>
      <c r="L72" s="295">
        <f>D72-K72</f>
        <v>9</v>
      </c>
    </row>
    <row r="73" spans="1:12" ht="33" customHeight="1">
      <c r="A73" s="300" t="s">
        <v>102</v>
      </c>
      <c r="B73" s="292" t="s">
        <v>317</v>
      </c>
      <c r="C73" s="294"/>
      <c r="D73" s="382">
        <f t="shared" si="26"/>
        <v>10</v>
      </c>
      <c r="E73" s="295"/>
      <c r="F73" s="295"/>
      <c r="G73" s="295"/>
      <c r="H73" s="295"/>
      <c r="I73" s="295"/>
      <c r="J73" s="295">
        <v>10</v>
      </c>
      <c r="K73" s="295">
        <f t="shared" si="10"/>
        <v>1</v>
      </c>
      <c r="L73" s="295">
        <f>D73-K73</f>
        <v>9</v>
      </c>
    </row>
    <row r="74" spans="1:12" ht="56.35" customHeight="1">
      <c r="A74" s="300" t="s">
        <v>102</v>
      </c>
      <c r="B74" s="292" t="s">
        <v>738</v>
      </c>
      <c r="C74" s="294"/>
      <c r="D74" s="382">
        <f t="shared" si="26"/>
        <v>50</v>
      </c>
      <c r="E74" s="295"/>
      <c r="F74" s="295"/>
      <c r="G74" s="295"/>
      <c r="H74" s="295"/>
      <c r="I74" s="295"/>
      <c r="J74" s="295">
        <v>50</v>
      </c>
      <c r="K74" s="295">
        <f t="shared" si="10"/>
        <v>5</v>
      </c>
      <c r="L74" s="295">
        <f>D74-K74</f>
        <v>45</v>
      </c>
    </row>
    <row r="75" spans="1:12" ht="21.4" customHeight="1">
      <c r="A75" s="298">
        <v>9</v>
      </c>
      <c r="B75" s="288" t="s">
        <v>78</v>
      </c>
      <c r="C75" s="547">
        <f>C76</f>
        <v>4</v>
      </c>
      <c r="D75" s="299">
        <f>SUM(D76:D81)</f>
        <v>961.14799999999991</v>
      </c>
      <c r="E75" s="299">
        <f t="shared" ref="E75:L75" si="27">SUM(E76:E81)</f>
        <v>708.94799999999998</v>
      </c>
      <c r="F75" s="299">
        <f t="shared" si="27"/>
        <v>430.899</v>
      </c>
      <c r="G75" s="299">
        <f t="shared" si="27"/>
        <v>89.65</v>
      </c>
      <c r="H75" s="299">
        <f t="shared" si="27"/>
        <v>188.399</v>
      </c>
      <c r="I75" s="299">
        <f t="shared" si="27"/>
        <v>118.80000000000001</v>
      </c>
      <c r="J75" s="299">
        <f t="shared" si="27"/>
        <v>133.4</v>
      </c>
      <c r="K75" s="299">
        <f t="shared" si="27"/>
        <v>25.220000000000002</v>
      </c>
      <c r="L75" s="299">
        <f t="shared" si="27"/>
        <v>903.69299999999987</v>
      </c>
    </row>
    <row r="76" spans="1:12" ht="21.4" customHeight="1">
      <c r="A76" s="300" t="s">
        <v>102</v>
      </c>
      <c r="B76" s="292" t="s">
        <v>211</v>
      </c>
      <c r="C76" s="294">
        <v>4</v>
      </c>
      <c r="D76" s="382">
        <f t="shared" ref="D76:D81" si="28">E76+I76+J76</f>
        <v>795.51299999999992</v>
      </c>
      <c r="E76" s="295">
        <f>F76+G76+H76</f>
        <v>676.71299999999997</v>
      </c>
      <c r="F76" s="295">
        <v>430.899</v>
      </c>
      <c r="G76" s="295">
        <v>89.65</v>
      </c>
      <c r="H76" s="295">
        <v>156.16399999999999</v>
      </c>
      <c r="I76" s="295">
        <f>C76*27*1.1</f>
        <v>118.80000000000001</v>
      </c>
      <c r="J76" s="299"/>
      <c r="K76" s="295">
        <f t="shared" si="10"/>
        <v>11.880000000000003</v>
      </c>
      <c r="L76" s="295">
        <f>D76-K76</f>
        <v>783.63299999999992</v>
      </c>
    </row>
    <row r="77" spans="1:12" ht="21.4" customHeight="1">
      <c r="A77" s="309" t="s">
        <v>102</v>
      </c>
      <c r="B77" s="304" t="s">
        <v>864</v>
      </c>
      <c r="C77" s="294"/>
      <c r="D77" s="382">
        <f t="shared" si="28"/>
        <v>32.234999999999999</v>
      </c>
      <c r="E77" s="295">
        <f>F77+G77+H77</f>
        <v>32.234999999999999</v>
      </c>
      <c r="F77" s="295"/>
      <c r="G77" s="295"/>
      <c r="H77" s="295">
        <v>32.234999999999999</v>
      </c>
      <c r="I77" s="295"/>
      <c r="J77" s="299"/>
      <c r="K77" s="295"/>
      <c r="L77" s="295"/>
    </row>
    <row r="78" spans="1:12" ht="34.25" customHeight="1">
      <c r="A78" s="300" t="s">
        <v>102</v>
      </c>
      <c r="B78" s="292" t="s">
        <v>617</v>
      </c>
      <c r="C78" s="294"/>
      <c r="D78" s="382">
        <f t="shared" si="28"/>
        <v>30</v>
      </c>
      <c r="E78" s="299"/>
      <c r="F78" s="299"/>
      <c r="G78" s="299"/>
      <c r="H78" s="299"/>
      <c r="I78" s="299"/>
      <c r="J78" s="295">
        <v>30</v>
      </c>
      <c r="K78" s="295">
        <f t="shared" si="10"/>
        <v>3</v>
      </c>
      <c r="L78" s="295">
        <f>D78-K78</f>
        <v>27</v>
      </c>
    </row>
    <row r="79" spans="1:12" ht="30" customHeight="1">
      <c r="A79" s="300" t="s">
        <v>102</v>
      </c>
      <c r="B79" s="292" t="s">
        <v>618</v>
      </c>
      <c r="C79" s="294"/>
      <c r="D79" s="382">
        <f t="shared" si="28"/>
        <v>23.4</v>
      </c>
      <c r="E79" s="299"/>
      <c r="F79" s="299"/>
      <c r="G79" s="299"/>
      <c r="H79" s="299"/>
      <c r="I79" s="299"/>
      <c r="J79" s="295">
        <v>23.4</v>
      </c>
      <c r="K79" s="295">
        <f t="shared" si="10"/>
        <v>2.34</v>
      </c>
      <c r="L79" s="295">
        <f>D79-K79</f>
        <v>21.06</v>
      </c>
    </row>
    <row r="80" spans="1:12" ht="33.85" customHeight="1">
      <c r="A80" s="300" t="s">
        <v>102</v>
      </c>
      <c r="B80" s="292" t="s">
        <v>619</v>
      </c>
      <c r="C80" s="294"/>
      <c r="D80" s="382">
        <f t="shared" si="28"/>
        <v>50</v>
      </c>
      <c r="E80" s="299"/>
      <c r="F80" s="299"/>
      <c r="G80" s="299"/>
      <c r="H80" s="299"/>
      <c r="I80" s="299"/>
      <c r="J80" s="295">
        <v>50</v>
      </c>
      <c r="K80" s="295">
        <f t="shared" si="10"/>
        <v>5</v>
      </c>
      <c r="L80" s="295">
        <f>D80-K80</f>
        <v>45</v>
      </c>
    </row>
    <row r="81" spans="1:12" ht="33.85" customHeight="1">
      <c r="A81" s="300" t="s">
        <v>102</v>
      </c>
      <c r="B81" s="292" t="s">
        <v>620</v>
      </c>
      <c r="C81" s="294"/>
      <c r="D81" s="382">
        <f t="shared" si="28"/>
        <v>30</v>
      </c>
      <c r="E81" s="299"/>
      <c r="F81" s="299"/>
      <c r="G81" s="299"/>
      <c r="H81" s="299"/>
      <c r="I81" s="299"/>
      <c r="J81" s="295">
        <v>30</v>
      </c>
      <c r="K81" s="295">
        <f t="shared" si="10"/>
        <v>3</v>
      </c>
      <c r="L81" s="295">
        <f>D81-K81</f>
        <v>27</v>
      </c>
    </row>
    <row r="82" spans="1:12" ht="17.75" customHeight="1">
      <c r="A82" s="298">
        <v>10</v>
      </c>
      <c r="B82" s="288" t="s">
        <v>79</v>
      </c>
      <c r="C82" s="547">
        <f>C83</f>
        <v>4</v>
      </c>
      <c r="D82" s="299">
        <f t="shared" ref="D82:L82" si="29">SUM(D83:D90)</f>
        <v>1215.2829999999999</v>
      </c>
      <c r="E82" s="299">
        <f t="shared" si="29"/>
        <v>858.08300000000008</v>
      </c>
      <c r="F82" s="299">
        <f t="shared" si="29"/>
        <v>524.68100000000004</v>
      </c>
      <c r="G82" s="299">
        <f t="shared" si="29"/>
        <v>109.161</v>
      </c>
      <c r="H82" s="299">
        <f t="shared" si="29"/>
        <v>224.24099999999999</v>
      </c>
      <c r="I82" s="299">
        <f t="shared" si="29"/>
        <v>118.80000000000001</v>
      </c>
      <c r="J82" s="299">
        <f t="shared" si="29"/>
        <v>238.4</v>
      </c>
      <c r="K82" s="299">
        <f t="shared" si="29"/>
        <v>35.72</v>
      </c>
      <c r="L82" s="299">
        <f t="shared" si="29"/>
        <v>1145.4740000000002</v>
      </c>
    </row>
    <row r="83" spans="1:12" ht="17.75" customHeight="1">
      <c r="A83" s="300" t="s">
        <v>102</v>
      </c>
      <c r="B83" s="292" t="s">
        <v>211</v>
      </c>
      <c r="C83" s="294">
        <v>4</v>
      </c>
      <c r="D83" s="382">
        <f t="shared" ref="D83:D90" si="30">E83+I83+J83</f>
        <v>942.7940000000001</v>
      </c>
      <c r="E83" s="295">
        <f>F83+G83+H83</f>
        <v>823.99400000000014</v>
      </c>
      <c r="F83" s="295">
        <v>524.68100000000004</v>
      </c>
      <c r="G83" s="295">
        <v>109.161</v>
      </c>
      <c r="H83" s="295">
        <v>190.15199999999999</v>
      </c>
      <c r="I83" s="295">
        <f>C83*27*1.1</f>
        <v>118.80000000000001</v>
      </c>
      <c r="J83" s="295"/>
      <c r="K83" s="295">
        <f t="shared" si="10"/>
        <v>11.880000000000003</v>
      </c>
      <c r="L83" s="295">
        <f t="shared" ref="L83:L90" si="31">D83-K83</f>
        <v>930.9140000000001</v>
      </c>
    </row>
    <row r="84" spans="1:12" ht="17.75" customHeight="1">
      <c r="A84" s="309" t="s">
        <v>102</v>
      </c>
      <c r="B84" s="304" t="s">
        <v>864</v>
      </c>
      <c r="C84" s="294"/>
      <c r="D84" s="382">
        <f t="shared" si="30"/>
        <v>34.088999999999999</v>
      </c>
      <c r="E84" s="295">
        <f>F84+G84+H84</f>
        <v>34.088999999999999</v>
      </c>
      <c r="F84" s="295"/>
      <c r="G84" s="295"/>
      <c r="H84" s="295">
        <v>34.088999999999999</v>
      </c>
      <c r="I84" s="295"/>
      <c r="J84" s="295"/>
      <c r="K84" s="295"/>
      <c r="L84" s="295"/>
    </row>
    <row r="85" spans="1:12" ht="17.75" customHeight="1">
      <c r="A85" s="300" t="s">
        <v>102</v>
      </c>
      <c r="B85" s="292" t="s">
        <v>580</v>
      </c>
      <c r="C85" s="294"/>
      <c r="D85" s="382">
        <f t="shared" si="30"/>
        <v>23.4</v>
      </c>
      <c r="E85" s="295"/>
      <c r="F85" s="295"/>
      <c r="G85" s="295"/>
      <c r="H85" s="295"/>
      <c r="I85" s="295"/>
      <c r="J85" s="295">
        <v>23.4</v>
      </c>
      <c r="K85" s="295">
        <f t="shared" si="10"/>
        <v>2.34</v>
      </c>
      <c r="L85" s="295">
        <f t="shared" si="31"/>
        <v>21.06</v>
      </c>
    </row>
    <row r="86" spans="1:12" ht="17.75" customHeight="1">
      <c r="A86" s="300" t="s">
        <v>102</v>
      </c>
      <c r="B86" s="301" t="s">
        <v>594</v>
      </c>
      <c r="C86" s="294"/>
      <c r="D86" s="382">
        <f t="shared" si="30"/>
        <v>35</v>
      </c>
      <c r="E86" s="295"/>
      <c r="F86" s="295"/>
      <c r="G86" s="295"/>
      <c r="H86" s="295"/>
      <c r="I86" s="295"/>
      <c r="J86" s="295">
        <v>35</v>
      </c>
      <c r="K86" s="295">
        <f t="shared" si="10"/>
        <v>3.5</v>
      </c>
      <c r="L86" s="295">
        <f t="shared" si="31"/>
        <v>31.5</v>
      </c>
    </row>
    <row r="87" spans="1:12" ht="30.4" customHeight="1">
      <c r="A87" s="300" t="s">
        <v>102</v>
      </c>
      <c r="B87" s="301" t="s">
        <v>595</v>
      </c>
      <c r="C87" s="294"/>
      <c r="D87" s="382">
        <f t="shared" si="30"/>
        <v>30</v>
      </c>
      <c r="E87" s="295"/>
      <c r="F87" s="295"/>
      <c r="G87" s="295"/>
      <c r="H87" s="295"/>
      <c r="I87" s="295"/>
      <c r="J87" s="295">
        <v>30</v>
      </c>
      <c r="K87" s="295">
        <f t="shared" si="10"/>
        <v>3</v>
      </c>
      <c r="L87" s="295">
        <f t="shared" si="31"/>
        <v>27</v>
      </c>
    </row>
    <row r="88" spans="1:12" ht="17.75" customHeight="1">
      <c r="A88" s="300" t="s">
        <v>102</v>
      </c>
      <c r="B88" s="301" t="s">
        <v>596</v>
      </c>
      <c r="C88" s="294"/>
      <c r="D88" s="382">
        <f t="shared" si="30"/>
        <v>50</v>
      </c>
      <c r="E88" s="295"/>
      <c r="F88" s="295"/>
      <c r="G88" s="295"/>
      <c r="H88" s="295"/>
      <c r="I88" s="295"/>
      <c r="J88" s="295">
        <v>50</v>
      </c>
      <c r="K88" s="295">
        <f t="shared" si="10"/>
        <v>5</v>
      </c>
      <c r="L88" s="295">
        <f t="shared" si="31"/>
        <v>45</v>
      </c>
    </row>
    <row r="89" spans="1:12" ht="17.75" customHeight="1">
      <c r="A89" s="300" t="s">
        <v>102</v>
      </c>
      <c r="B89" s="301" t="s">
        <v>597</v>
      </c>
      <c r="C89" s="294"/>
      <c r="D89" s="382">
        <f t="shared" si="30"/>
        <v>50</v>
      </c>
      <c r="E89" s="295"/>
      <c r="F89" s="295"/>
      <c r="G89" s="295"/>
      <c r="H89" s="295"/>
      <c r="I89" s="295"/>
      <c r="J89" s="295">
        <v>50</v>
      </c>
      <c r="K89" s="295">
        <f t="shared" si="10"/>
        <v>5</v>
      </c>
      <c r="L89" s="295">
        <f t="shared" si="31"/>
        <v>45</v>
      </c>
    </row>
    <row r="90" spans="1:12" ht="17.75" customHeight="1">
      <c r="A90" s="300" t="s">
        <v>542</v>
      </c>
      <c r="B90" s="301" t="s">
        <v>598</v>
      </c>
      <c r="C90" s="294"/>
      <c r="D90" s="382">
        <f t="shared" si="30"/>
        <v>50</v>
      </c>
      <c r="E90" s="295"/>
      <c r="F90" s="295"/>
      <c r="G90" s="295"/>
      <c r="H90" s="295"/>
      <c r="I90" s="295"/>
      <c r="J90" s="295">
        <v>50</v>
      </c>
      <c r="K90" s="295">
        <f>(I90+J90)*10%</f>
        <v>5</v>
      </c>
      <c r="L90" s="295">
        <f t="shared" si="31"/>
        <v>45</v>
      </c>
    </row>
    <row r="91" spans="1:12" ht="18.399999999999999" customHeight="1">
      <c r="A91" s="298">
        <v>11</v>
      </c>
      <c r="B91" s="288" t="s">
        <v>80</v>
      </c>
      <c r="C91" s="547">
        <f>C92</f>
        <v>7</v>
      </c>
      <c r="D91" s="299">
        <f t="shared" ref="D91:L91" si="32">SUM(D92:D98)</f>
        <v>1763.652</v>
      </c>
      <c r="E91" s="299">
        <f t="shared" si="32"/>
        <v>1346.252</v>
      </c>
      <c r="F91" s="299">
        <f t="shared" si="32"/>
        <v>817.67899999999997</v>
      </c>
      <c r="G91" s="299">
        <f t="shared" si="32"/>
        <v>170.12100000000001</v>
      </c>
      <c r="H91" s="299">
        <f t="shared" si="32"/>
        <v>358.452</v>
      </c>
      <c r="I91" s="299">
        <f t="shared" si="32"/>
        <v>189</v>
      </c>
      <c r="J91" s="299">
        <f t="shared" si="32"/>
        <v>228.4</v>
      </c>
      <c r="K91" s="299">
        <f>SUM(K92:K98)</f>
        <v>41.74</v>
      </c>
      <c r="L91" s="299">
        <f t="shared" si="32"/>
        <v>1659.7999999999997</v>
      </c>
    </row>
    <row r="92" spans="1:12" ht="18.399999999999999" customHeight="1">
      <c r="A92" s="300" t="s">
        <v>102</v>
      </c>
      <c r="B92" s="292" t="s">
        <v>211</v>
      </c>
      <c r="C92" s="294">
        <v>7</v>
      </c>
      <c r="D92" s="382">
        <f t="shared" ref="D92:D98" si="33">E92+I92+J92</f>
        <v>1473.1399999999999</v>
      </c>
      <c r="E92" s="295">
        <f>F92+G92+H92</f>
        <v>1284.1399999999999</v>
      </c>
      <c r="F92" s="295">
        <v>817.67899999999997</v>
      </c>
      <c r="G92" s="295">
        <v>170.12100000000001</v>
      </c>
      <c r="H92" s="295">
        <v>296.33999999999997</v>
      </c>
      <c r="I92" s="295">
        <f>C92*27</f>
        <v>189</v>
      </c>
      <c r="J92" s="295"/>
      <c r="K92" s="295">
        <f t="shared" ref="K92:K146" si="34">(I92+J92)*10%</f>
        <v>18.900000000000002</v>
      </c>
      <c r="L92" s="295">
        <f t="shared" ref="L92:L98" si="35">D92-K92</f>
        <v>1454.2399999999998</v>
      </c>
    </row>
    <row r="93" spans="1:12" ht="18.399999999999999" customHeight="1">
      <c r="A93" s="309" t="s">
        <v>102</v>
      </c>
      <c r="B93" s="304" t="s">
        <v>864</v>
      </c>
      <c r="C93" s="294"/>
      <c r="D93" s="382">
        <f t="shared" si="33"/>
        <v>62.112000000000002</v>
      </c>
      <c r="E93" s="295">
        <f>F93+G93+H93</f>
        <v>62.112000000000002</v>
      </c>
      <c r="F93" s="295"/>
      <c r="G93" s="295"/>
      <c r="H93" s="295">
        <v>62.112000000000002</v>
      </c>
      <c r="I93" s="295"/>
      <c r="J93" s="295"/>
      <c r="K93" s="295"/>
      <c r="L93" s="295"/>
    </row>
    <row r="94" spans="1:12" ht="18.399999999999999" customHeight="1">
      <c r="A94" s="300" t="s">
        <v>102</v>
      </c>
      <c r="B94" s="292" t="s">
        <v>580</v>
      </c>
      <c r="C94" s="294"/>
      <c r="D94" s="382">
        <f t="shared" si="33"/>
        <v>23.4</v>
      </c>
      <c r="E94" s="295"/>
      <c r="F94" s="295"/>
      <c r="G94" s="295"/>
      <c r="H94" s="295"/>
      <c r="I94" s="295"/>
      <c r="J94" s="295">
        <v>23.4</v>
      </c>
      <c r="K94" s="295">
        <f t="shared" si="34"/>
        <v>2.34</v>
      </c>
      <c r="L94" s="295">
        <f t="shared" si="35"/>
        <v>21.06</v>
      </c>
    </row>
    <row r="95" spans="1:12" ht="56.75" customHeight="1">
      <c r="A95" s="300" t="s">
        <v>102</v>
      </c>
      <c r="B95" s="301" t="s">
        <v>869</v>
      </c>
      <c r="C95" s="294"/>
      <c r="D95" s="382">
        <f t="shared" si="33"/>
        <v>115</v>
      </c>
      <c r="E95" s="295"/>
      <c r="F95" s="295"/>
      <c r="G95" s="295"/>
      <c r="H95" s="295"/>
      <c r="I95" s="295"/>
      <c r="J95" s="295">
        <v>115</v>
      </c>
      <c r="K95" s="295">
        <f t="shared" si="34"/>
        <v>11.5</v>
      </c>
      <c r="L95" s="295">
        <f t="shared" si="35"/>
        <v>103.5</v>
      </c>
    </row>
    <row r="96" spans="1:12" ht="23.35" customHeight="1">
      <c r="A96" s="300" t="s">
        <v>102</v>
      </c>
      <c r="B96" s="301" t="s">
        <v>763</v>
      </c>
      <c r="C96" s="294"/>
      <c r="D96" s="382">
        <f t="shared" si="33"/>
        <v>30</v>
      </c>
      <c r="E96" s="295"/>
      <c r="F96" s="295"/>
      <c r="G96" s="295"/>
      <c r="H96" s="295"/>
      <c r="I96" s="295"/>
      <c r="J96" s="295">
        <v>30</v>
      </c>
      <c r="K96" s="295">
        <f t="shared" ref="K96" si="36">(I96+J96)*10%</f>
        <v>3</v>
      </c>
      <c r="L96" s="295">
        <f t="shared" si="35"/>
        <v>27</v>
      </c>
    </row>
    <row r="97" spans="1:12" ht="23.35" customHeight="1">
      <c r="A97" s="300" t="s">
        <v>102</v>
      </c>
      <c r="B97" s="301" t="s">
        <v>764</v>
      </c>
      <c r="C97" s="294"/>
      <c r="D97" s="382">
        <f t="shared" si="33"/>
        <v>30</v>
      </c>
      <c r="E97" s="295"/>
      <c r="F97" s="295"/>
      <c r="G97" s="295"/>
      <c r="H97" s="295"/>
      <c r="I97" s="295"/>
      <c r="J97" s="295">
        <v>30</v>
      </c>
      <c r="K97" s="295">
        <f t="shared" ref="K97" si="37">(I97+J97)*10%</f>
        <v>3</v>
      </c>
      <c r="L97" s="295">
        <f t="shared" si="35"/>
        <v>27</v>
      </c>
    </row>
    <row r="98" spans="1:12" ht="18.399999999999999" customHeight="1">
      <c r="A98" s="300" t="s">
        <v>102</v>
      </c>
      <c r="B98" s="292" t="s">
        <v>599</v>
      </c>
      <c r="C98" s="294"/>
      <c r="D98" s="382">
        <f t="shared" si="33"/>
        <v>30</v>
      </c>
      <c r="E98" s="296"/>
      <c r="F98" s="296"/>
      <c r="G98" s="296"/>
      <c r="H98" s="296"/>
      <c r="I98" s="296"/>
      <c r="J98" s="295">
        <v>30</v>
      </c>
      <c r="K98" s="295">
        <f t="shared" si="34"/>
        <v>3</v>
      </c>
      <c r="L98" s="295">
        <f t="shared" si="35"/>
        <v>27</v>
      </c>
    </row>
    <row r="99" spans="1:12" ht="18.399999999999999" customHeight="1">
      <c r="A99" s="298">
        <v>12</v>
      </c>
      <c r="B99" s="288" t="s">
        <v>81</v>
      </c>
      <c r="C99" s="547">
        <f>C100</f>
        <v>7</v>
      </c>
      <c r="D99" s="299">
        <f t="shared" ref="D99:L99" si="38">SUM(D100:D111)</f>
        <v>1807.1170000000002</v>
      </c>
      <c r="E99" s="299">
        <f t="shared" si="38"/>
        <v>1191.9170000000001</v>
      </c>
      <c r="F99" s="299">
        <f t="shared" si="38"/>
        <v>728.86400000000003</v>
      </c>
      <c r="G99" s="299">
        <f t="shared" si="38"/>
        <v>151.643</v>
      </c>
      <c r="H99" s="299">
        <f t="shared" si="38"/>
        <v>311.40999999999997</v>
      </c>
      <c r="I99" s="299">
        <f t="shared" si="38"/>
        <v>226.79999999999998</v>
      </c>
      <c r="J99" s="299">
        <f t="shared" si="38"/>
        <v>388.4</v>
      </c>
      <c r="K99" s="299">
        <f t="shared" si="38"/>
        <v>61.519999999999996</v>
      </c>
      <c r="L99" s="299">
        <f t="shared" si="38"/>
        <v>1698.3389999999999</v>
      </c>
    </row>
    <row r="100" spans="1:12" ht="18.399999999999999" customHeight="1">
      <c r="A100" s="300" t="s">
        <v>102</v>
      </c>
      <c r="B100" s="292" t="s">
        <v>211</v>
      </c>
      <c r="C100" s="294">
        <v>7</v>
      </c>
      <c r="D100" s="382">
        <f t="shared" ref="D100:D111" si="39">E100+I100+J100</f>
        <v>1371.4590000000001</v>
      </c>
      <c r="E100" s="295">
        <f>F100+G100+H100</f>
        <v>1144.6590000000001</v>
      </c>
      <c r="F100" s="295">
        <v>728.86400000000003</v>
      </c>
      <c r="G100" s="295">
        <v>151.643</v>
      </c>
      <c r="H100" s="295">
        <v>264.15199999999999</v>
      </c>
      <c r="I100" s="295">
        <f>C100*27*1.2</f>
        <v>226.79999999999998</v>
      </c>
      <c r="J100" s="295"/>
      <c r="K100" s="295">
        <f t="shared" si="34"/>
        <v>22.68</v>
      </c>
      <c r="L100" s="295">
        <f t="shared" ref="L100:L111" si="40">D100-K100</f>
        <v>1348.779</v>
      </c>
    </row>
    <row r="101" spans="1:12" ht="18.399999999999999" customHeight="1">
      <c r="A101" s="309" t="s">
        <v>102</v>
      </c>
      <c r="B101" s="304" t="s">
        <v>864</v>
      </c>
      <c r="C101" s="294"/>
      <c r="D101" s="382">
        <f t="shared" si="39"/>
        <v>47.258000000000003</v>
      </c>
      <c r="E101" s="295">
        <f>F101+G101+H101</f>
        <v>47.258000000000003</v>
      </c>
      <c r="F101" s="295"/>
      <c r="G101" s="295"/>
      <c r="H101" s="295">
        <v>47.258000000000003</v>
      </c>
      <c r="I101" s="295"/>
      <c r="J101" s="295"/>
      <c r="K101" s="295"/>
      <c r="L101" s="295"/>
    </row>
    <row r="102" spans="1:12" ht="18.399999999999999" customHeight="1">
      <c r="A102" s="300" t="s">
        <v>102</v>
      </c>
      <c r="B102" s="292" t="s">
        <v>580</v>
      </c>
      <c r="C102" s="294"/>
      <c r="D102" s="382">
        <f t="shared" si="39"/>
        <v>23.4</v>
      </c>
      <c r="E102" s="295"/>
      <c r="F102" s="295"/>
      <c r="G102" s="295"/>
      <c r="H102" s="295"/>
      <c r="I102" s="295"/>
      <c r="J102" s="295">
        <v>23.4</v>
      </c>
      <c r="K102" s="295">
        <f t="shared" si="34"/>
        <v>2.34</v>
      </c>
      <c r="L102" s="295">
        <f t="shared" si="40"/>
        <v>21.06</v>
      </c>
    </row>
    <row r="103" spans="1:12" ht="18.399999999999999" customHeight="1">
      <c r="A103" s="300" t="s">
        <v>102</v>
      </c>
      <c r="B103" s="292" t="s">
        <v>649</v>
      </c>
      <c r="C103" s="294"/>
      <c r="D103" s="382">
        <f t="shared" si="39"/>
        <v>30</v>
      </c>
      <c r="E103" s="295"/>
      <c r="F103" s="295"/>
      <c r="G103" s="295"/>
      <c r="H103" s="295"/>
      <c r="I103" s="295"/>
      <c r="J103" s="295">
        <v>30</v>
      </c>
      <c r="K103" s="295">
        <f t="shared" si="34"/>
        <v>3</v>
      </c>
      <c r="L103" s="295">
        <f t="shared" si="40"/>
        <v>27</v>
      </c>
    </row>
    <row r="104" spans="1:12" ht="18.399999999999999" customHeight="1">
      <c r="A104" s="300" t="s">
        <v>102</v>
      </c>
      <c r="B104" s="292" t="s">
        <v>650</v>
      </c>
      <c r="C104" s="294"/>
      <c r="D104" s="382">
        <f t="shared" si="39"/>
        <v>30</v>
      </c>
      <c r="E104" s="295"/>
      <c r="F104" s="295"/>
      <c r="G104" s="295"/>
      <c r="H104" s="295"/>
      <c r="I104" s="295"/>
      <c r="J104" s="295">
        <v>30</v>
      </c>
      <c r="K104" s="295">
        <f t="shared" si="34"/>
        <v>3</v>
      </c>
      <c r="L104" s="295">
        <f t="shared" si="40"/>
        <v>27</v>
      </c>
    </row>
    <row r="105" spans="1:12" ht="30.75">
      <c r="A105" s="300" t="s">
        <v>102</v>
      </c>
      <c r="B105" s="292" t="s">
        <v>581</v>
      </c>
      <c r="C105" s="294"/>
      <c r="D105" s="382">
        <f t="shared" si="39"/>
        <v>50</v>
      </c>
      <c r="E105" s="295"/>
      <c r="F105" s="295"/>
      <c r="G105" s="295"/>
      <c r="H105" s="295"/>
      <c r="I105" s="295"/>
      <c r="J105" s="295">
        <v>50</v>
      </c>
      <c r="K105" s="295">
        <f t="shared" si="34"/>
        <v>5</v>
      </c>
      <c r="L105" s="295">
        <f t="shared" si="40"/>
        <v>45</v>
      </c>
    </row>
    <row r="106" spans="1:12">
      <c r="A106" s="300" t="s">
        <v>102</v>
      </c>
      <c r="B106" s="292" t="s">
        <v>853</v>
      </c>
      <c r="C106" s="294"/>
      <c r="D106" s="382">
        <f t="shared" si="39"/>
        <v>50</v>
      </c>
      <c r="E106" s="295"/>
      <c r="F106" s="295"/>
      <c r="G106" s="295"/>
      <c r="H106" s="295"/>
      <c r="I106" s="295"/>
      <c r="J106" s="295">
        <v>50</v>
      </c>
      <c r="K106" s="295">
        <f t="shared" si="34"/>
        <v>5</v>
      </c>
      <c r="L106" s="295">
        <f t="shared" si="40"/>
        <v>45</v>
      </c>
    </row>
    <row r="107" spans="1:12" ht="30.75">
      <c r="A107" s="300" t="s">
        <v>102</v>
      </c>
      <c r="B107" s="292" t="s">
        <v>600</v>
      </c>
      <c r="C107" s="294"/>
      <c r="D107" s="382">
        <f t="shared" si="39"/>
        <v>50</v>
      </c>
      <c r="E107" s="295"/>
      <c r="F107" s="295"/>
      <c r="G107" s="295"/>
      <c r="H107" s="295"/>
      <c r="I107" s="295"/>
      <c r="J107" s="295">
        <v>50</v>
      </c>
      <c r="K107" s="295">
        <f t="shared" si="34"/>
        <v>5</v>
      </c>
      <c r="L107" s="295">
        <f t="shared" si="40"/>
        <v>45</v>
      </c>
    </row>
    <row r="108" spans="1:12" ht="30.75">
      <c r="A108" s="300" t="s">
        <v>102</v>
      </c>
      <c r="B108" s="292" t="s">
        <v>584</v>
      </c>
      <c r="C108" s="294"/>
      <c r="D108" s="382">
        <f t="shared" si="39"/>
        <v>50</v>
      </c>
      <c r="E108" s="295"/>
      <c r="F108" s="295"/>
      <c r="G108" s="295"/>
      <c r="H108" s="295"/>
      <c r="I108" s="295"/>
      <c r="J108" s="295">
        <v>50</v>
      </c>
      <c r="K108" s="295">
        <f t="shared" si="34"/>
        <v>5</v>
      </c>
      <c r="L108" s="295">
        <f t="shared" si="40"/>
        <v>45</v>
      </c>
    </row>
    <row r="109" spans="1:12" ht="91.9" customHeight="1">
      <c r="A109" s="300" t="s">
        <v>102</v>
      </c>
      <c r="B109" s="292" t="s">
        <v>651</v>
      </c>
      <c r="C109" s="294"/>
      <c r="D109" s="382">
        <f t="shared" si="39"/>
        <v>40</v>
      </c>
      <c r="E109" s="295"/>
      <c r="F109" s="295"/>
      <c r="G109" s="295"/>
      <c r="H109" s="295"/>
      <c r="I109" s="295"/>
      <c r="J109" s="295">
        <v>40</v>
      </c>
      <c r="K109" s="295">
        <f t="shared" si="34"/>
        <v>4</v>
      </c>
      <c r="L109" s="295">
        <f t="shared" si="40"/>
        <v>36</v>
      </c>
    </row>
    <row r="110" spans="1:12" ht="31.9" customHeight="1">
      <c r="A110" s="300" t="s">
        <v>102</v>
      </c>
      <c r="B110" s="292" t="s">
        <v>739</v>
      </c>
      <c r="C110" s="294"/>
      <c r="D110" s="382">
        <f t="shared" si="39"/>
        <v>50</v>
      </c>
      <c r="E110" s="295"/>
      <c r="F110" s="295"/>
      <c r="G110" s="295"/>
      <c r="H110" s="295"/>
      <c r="I110" s="295"/>
      <c r="J110" s="295">
        <v>50</v>
      </c>
      <c r="K110" s="295">
        <f t="shared" ref="K110" si="41">(I110+J110)*10%</f>
        <v>5</v>
      </c>
      <c r="L110" s="295">
        <f t="shared" si="40"/>
        <v>45</v>
      </c>
    </row>
    <row r="111" spans="1:12" ht="19.5" customHeight="1">
      <c r="A111" s="300" t="s">
        <v>102</v>
      </c>
      <c r="B111" s="292" t="s">
        <v>771</v>
      </c>
      <c r="C111" s="294"/>
      <c r="D111" s="382">
        <f t="shared" si="39"/>
        <v>15</v>
      </c>
      <c r="E111" s="295"/>
      <c r="F111" s="295"/>
      <c r="G111" s="295"/>
      <c r="H111" s="295"/>
      <c r="I111" s="295"/>
      <c r="J111" s="295">
        <v>15</v>
      </c>
      <c r="K111" s="295">
        <f t="shared" ref="K111" si="42">(I111+J111)*10%</f>
        <v>1.5</v>
      </c>
      <c r="L111" s="295">
        <f t="shared" si="40"/>
        <v>13.5</v>
      </c>
    </row>
    <row r="112" spans="1:12" ht="19.5" customHeight="1">
      <c r="A112" s="298">
        <v>13</v>
      </c>
      <c r="B112" s="288" t="s">
        <v>115</v>
      </c>
      <c r="C112" s="547">
        <f>C113</f>
        <v>4</v>
      </c>
      <c r="D112" s="299">
        <f>SUM(D113:D115)</f>
        <v>1046.9290000000001</v>
      </c>
      <c r="E112" s="299">
        <f t="shared" ref="E112:L112" si="43">SUM(E113:E115)</f>
        <v>904.72900000000004</v>
      </c>
      <c r="F112" s="299">
        <f t="shared" si="43"/>
        <v>546.89099999999996</v>
      </c>
      <c r="G112" s="299">
        <f t="shared" si="43"/>
        <v>113.782</v>
      </c>
      <c r="H112" s="299">
        <f t="shared" si="43"/>
        <v>244.05599999999998</v>
      </c>
      <c r="I112" s="299">
        <f t="shared" si="43"/>
        <v>118.80000000000001</v>
      </c>
      <c r="J112" s="299">
        <f t="shared" si="43"/>
        <v>23.4</v>
      </c>
      <c r="K112" s="299">
        <f t="shared" si="43"/>
        <v>14.220000000000002</v>
      </c>
      <c r="L112" s="299">
        <f t="shared" si="43"/>
        <v>986.8549999999999</v>
      </c>
    </row>
    <row r="113" spans="1:12" ht="19.5" customHeight="1">
      <c r="A113" s="300" t="s">
        <v>102</v>
      </c>
      <c r="B113" s="292" t="s">
        <v>211</v>
      </c>
      <c r="C113" s="294">
        <v>4</v>
      </c>
      <c r="D113" s="382">
        <f>E113+I113+J113</f>
        <v>977.67499999999995</v>
      </c>
      <c r="E113" s="295">
        <f>F113+G113+H113</f>
        <v>858.875</v>
      </c>
      <c r="F113" s="295">
        <v>546.89099999999996</v>
      </c>
      <c r="G113" s="295">
        <v>113.782</v>
      </c>
      <c r="H113" s="295">
        <v>198.202</v>
      </c>
      <c r="I113" s="295">
        <f>C113*27*1.1</f>
        <v>118.80000000000001</v>
      </c>
      <c r="J113" s="295"/>
      <c r="K113" s="295">
        <f t="shared" si="34"/>
        <v>11.880000000000003</v>
      </c>
      <c r="L113" s="295">
        <f>D113-K113</f>
        <v>965.79499999999996</v>
      </c>
    </row>
    <row r="114" spans="1:12" ht="19.5" customHeight="1">
      <c r="A114" s="309" t="s">
        <v>102</v>
      </c>
      <c r="B114" s="304" t="s">
        <v>864</v>
      </c>
      <c r="C114" s="294"/>
      <c r="D114" s="382">
        <f>E114+I114+J114</f>
        <v>45.853999999999999</v>
      </c>
      <c r="E114" s="295">
        <f>F114+G114+H114</f>
        <v>45.853999999999999</v>
      </c>
      <c r="F114" s="295"/>
      <c r="G114" s="295"/>
      <c r="H114" s="295">
        <v>45.853999999999999</v>
      </c>
      <c r="I114" s="295"/>
      <c r="J114" s="295"/>
      <c r="K114" s="295"/>
      <c r="L114" s="295"/>
    </row>
    <row r="115" spans="1:12" ht="19.5" customHeight="1">
      <c r="A115" s="300" t="s">
        <v>102</v>
      </c>
      <c r="B115" s="292" t="s">
        <v>580</v>
      </c>
      <c r="C115" s="294"/>
      <c r="D115" s="382">
        <f>E115+I115+J115</f>
        <v>23.4</v>
      </c>
      <c r="E115" s="295"/>
      <c r="F115" s="295"/>
      <c r="G115" s="295"/>
      <c r="H115" s="295"/>
      <c r="I115" s="295"/>
      <c r="J115" s="295">
        <v>23.4</v>
      </c>
      <c r="K115" s="295">
        <f t="shared" si="34"/>
        <v>2.34</v>
      </c>
      <c r="L115" s="295">
        <f>D115-K115</f>
        <v>21.06</v>
      </c>
    </row>
    <row r="116" spans="1:12" ht="19.5" customHeight="1">
      <c r="A116" s="298">
        <v>14</v>
      </c>
      <c r="B116" s="288" t="s">
        <v>116</v>
      </c>
      <c r="C116" s="547">
        <f>C117</f>
        <v>4</v>
      </c>
      <c r="D116" s="299">
        <f>SUM(D117:D121)</f>
        <v>1135.1679999999999</v>
      </c>
      <c r="E116" s="299">
        <f t="shared" ref="E116:L116" si="44">SUM(E117:E121)</f>
        <v>862.96799999999996</v>
      </c>
      <c r="F116" s="299">
        <f t="shared" si="44"/>
        <v>521.83699999999999</v>
      </c>
      <c r="G116" s="299">
        <f t="shared" si="44"/>
        <v>108.57</v>
      </c>
      <c r="H116" s="299">
        <f t="shared" si="44"/>
        <v>232.56100000000001</v>
      </c>
      <c r="I116" s="299">
        <f t="shared" si="44"/>
        <v>118.80000000000001</v>
      </c>
      <c r="J116" s="299">
        <f t="shared" si="44"/>
        <v>153.4</v>
      </c>
      <c r="K116" s="299">
        <f t="shared" si="44"/>
        <v>17.220000000000002</v>
      </c>
      <c r="L116" s="299">
        <f t="shared" si="44"/>
        <v>1074.509</v>
      </c>
    </row>
    <row r="117" spans="1:12" ht="19.5" customHeight="1">
      <c r="A117" s="300" t="s">
        <v>102</v>
      </c>
      <c r="B117" s="292" t="s">
        <v>211</v>
      </c>
      <c r="C117" s="294">
        <v>4</v>
      </c>
      <c r="D117" s="382">
        <f>E117+I117+J117</f>
        <v>938.32899999999995</v>
      </c>
      <c r="E117" s="295">
        <f>F117+G117+H117</f>
        <v>819.529</v>
      </c>
      <c r="F117" s="295">
        <v>521.83699999999999</v>
      </c>
      <c r="G117" s="295">
        <v>108.57</v>
      </c>
      <c r="H117" s="295">
        <v>189.12200000000001</v>
      </c>
      <c r="I117" s="295">
        <f>C117*27*1.1</f>
        <v>118.80000000000001</v>
      </c>
      <c r="J117" s="295"/>
      <c r="K117" s="295">
        <f t="shared" si="34"/>
        <v>11.880000000000003</v>
      </c>
      <c r="L117" s="295">
        <f>D117-K117</f>
        <v>926.44899999999996</v>
      </c>
    </row>
    <row r="118" spans="1:12" ht="19.5" customHeight="1">
      <c r="A118" s="309" t="s">
        <v>102</v>
      </c>
      <c r="B118" s="304" t="s">
        <v>864</v>
      </c>
      <c r="C118" s="294"/>
      <c r="D118" s="382">
        <f>E118+I118+J118</f>
        <v>43.439</v>
      </c>
      <c r="E118" s="295">
        <f>F118+G118+H118</f>
        <v>43.439</v>
      </c>
      <c r="F118" s="295"/>
      <c r="G118" s="295"/>
      <c r="H118" s="295">
        <v>43.439</v>
      </c>
      <c r="I118" s="295"/>
      <c r="J118" s="295"/>
      <c r="K118" s="295"/>
      <c r="L118" s="295"/>
    </row>
    <row r="119" spans="1:12" ht="19.5" customHeight="1">
      <c r="A119" s="300" t="s">
        <v>102</v>
      </c>
      <c r="B119" s="292" t="s">
        <v>580</v>
      </c>
      <c r="C119" s="294"/>
      <c r="D119" s="382">
        <f>E119+I119+J119</f>
        <v>23.4</v>
      </c>
      <c r="E119" s="295"/>
      <c r="F119" s="295"/>
      <c r="G119" s="295"/>
      <c r="H119" s="295"/>
      <c r="I119" s="295"/>
      <c r="J119" s="295">
        <v>23.4</v>
      </c>
      <c r="K119" s="295">
        <f t="shared" si="34"/>
        <v>2.34</v>
      </c>
      <c r="L119" s="295">
        <f>D119-K119</f>
        <v>21.06</v>
      </c>
    </row>
    <row r="120" spans="1:12" ht="30.75">
      <c r="A120" s="300" t="s">
        <v>102</v>
      </c>
      <c r="B120" s="292" t="s">
        <v>766</v>
      </c>
      <c r="C120" s="294"/>
      <c r="D120" s="382">
        <f>E120+I120+J120</f>
        <v>100</v>
      </c>
      <c r="E120" s="295"/>
      <c r="F120" s="295"/>
      <c r="G120" s="295"/>
      <c r="H120" s="295"/>
      <c r="I120" s="295"/>
      <c r="J120" s="295">
        <v>100</v>
      </c>
      <c r="K120" s="295"/>
      <c r="L120" s="295">
        <f>D120-K120</f>
        <v>100</v>
      </c>
    </row>
    <row r="121" spans="1:12" ht="30.75">
      <c r="A121" s="300" t="s">
        <v>102</v>
      </c>
      <c r="B121" s="292" t="s">
        <v>601</v>
      </c>
      <c r="C121" s="294"/>
      <c r="D121" s="382">
        <f>E121+I121+J121</f>
        <v>30</v>
      </c>
      <c r="E121" s="295"/>
      <c r="F121" s="295"/>
      <c r="G121" s="295"/>
      <c r="H121" s="295"/>
      <c r="I121" s="295"/>
      <c r="J121" s="295">
        <v>30</v>
      </c>
      <c r="K121" s="295">
        <f t="shared" si="34"/>
        <v>3</v>
      </c>
      <c r="L121" s="295">
        <f>D121-K121</f>
        <v>27</v>
      </c>
    </row>
    <row r="122" spans="1:12" s="357" customFormat="1" ht="20.350000000000001" customHeight="1">
      <c r="A122" s="298" t="s">
        <v>87</v>
      </c>
      <c r="B122" s="312" t="s">
        <v>340</v>
      </c>
      <c r="C122" s="547">
        <f>C123</f>
        <v>27</v>
      </c>
      <c r="D122" s="299">
        <f t="shared" ref="D122:L122" si="45">SUM(D123:D136)+SUM(D143:D149)</f>
        <v>11311.837000000001</v>
      </c>
      <c r="E122" s="299">
        <f t="shared" si="45"/>
        <v>7636.5169999999998</v>
      </c>
      <c r="F122" s="299">
        <f t="shared" si="45"/>
        <v>4672.9340000000002</v>
      </c>
      <c r="G122" s="299">
        <f t="shared" si="45"/>
        <v>972.221</v>
      </c>
      <c r="H122" s="299">
        <f t="shared" si="45"/>
        <v>1991.3620000000001</v>
      </c>
      <c r="I122" s="299">
        <f t="shared" si="45"/>
        <v>1458</v>
      </c>
      <c r="J122" s="299">
        <f t="shared" si="45"/>
        <v>2217.3199999999997</v>
      </c>
      <c r="K122" s="299">
        <f t="shared" si="45"/>
        <v>277</v>
      </c>
      <c r="L122" s="299">
        <f t="shared" si="45"/>
        <v>10737.021000000001</v>
      </c>
    </row>
    <row r="123" spans="1:12" ht="20.350000000000001" customHeight="1">
      <c r="A123" s="300" t="s">
        <v>102</v>
      </c>
      <c r="B123" s="292" t="s">
        <v>211</v>
      </c>
      <c r="C123" s="294">
        <v>27</v>
      </c>
      <c r="D123" s="382">
        <f t="shared" ref="D123:D136" si="46">E123+I123+J123</f>
        <v>8381.1170000000002</v>
      </c>
      <c r="E123" s="295">
        <f>F123+G123+H123</f>
        <v>6923.1170000000002</v>
      </c>
      <c r="F123" s="295">
        <v>4408.3100000000004</v>
      </c>
      <c r="G123" s="295">
        <v>917.16499999999996</v>
      </c>
      <c r="H123" s="295">
        <v>1597.6420000000001</v>
      </c>
      <c r="I123" s="295">
        <f>C123*27*2</f>
        <v>1458</v>
      </c>
      <c r="J123" s="296"/>
      <c r="K123" s="295">
        <f t="shared" si="34"/>
        <v>145.80000000000001</v>
      </c>
      <c r="L123" s="295">
        <f t="shared" ref="L123:L136" si="47">D123-K123</f>
        <v>8235.3170000000009</v>
      </c>
    </row>
    <row r="124" spans="1:12" ht="34.25" customHeight="1">
      <c r="A124" s="309" t="s">
        <v>102</v>
      </c>
      <c r="B124" s="304" t="s">
        <v>874</v>
      </c>
      <c r="C124" s="294"/>
      <c r="D124" s="382">
        <f t="shared" si="46"/>
        <v>297.81599999999997</v>
      </c>
      <c r="E124" s="295">
        <f>F124+G124+H124</f>
        <v>297.81599999999997</v>
      </c>
      <c r="F124" s="295"/>
      <c r="G124" s="295"/>
      <c r="H124" s="295">
        <v>297.81599999999997</v>
      </c>
      <c r="I124" s="295"/>
      <c r="J124" s="296"/>
      <c r="K124" s="295"/>
      <c r="L124" s="295"/>
    </row>
    <row r="125" spans="1:12" ht="20.350000000000001" customHeight="1">
      <c r="A125" s="300" t="s">
        <v>102</v>
      </c>
      <c r="B125" s="292" t="s">
        <v>618</v>
      </c>
      <c r="C125" s="294"/>
      <c r="D125" s="382">
        <f t="shared" si="46"/>
        <v>117</v>
      </c>
      <c r="E125" s="295"/>
      <c r="F125" s="295"/>
      <c r="G125" s="295"/>
      <c r="H125" s="295"/>
      <c r="I125" s="295"/>
      <c r="J125" s="295">
        <f>5*23.4</f>
        <v>117</v>
      </c>
      <c r="K125" s="295">
        <f t="shared" si="34"/>
        <v>11.700000000000001</v>
      </c>
      <c r="L125" s="295">
        <f t="shared" si="47"/>
        <v>105.3</v>
      </c>
    </row>
    <row r="126" spans="1:12" ht="20.350000000000001" customHeight="1">
      <c r="A126" s="300" t="s">
        <v>102</v>
      </c>
      <c r="B126" s="292" t="s">
        <v>655</v>
      </c>
      <c r="C126" s="294">
        <v>37</v>
      </c>
      <c r="D126" s="382">
        <f t="shared" si="46"/>
        <v>415.584</v>
      </c>
      <c r="E126" s="295">
        <f>F126+G126+H126</f>
        <v>415.584</v>
      </c>
      <c r="F126" s="295">
        <v>264.62400000000002</v>
      </c>
      <c r="G126" s="295">
        <v>55.055999999999997</v>
      </c>
      <c r="H126" s="295">
        <v>95.904000000000011</v>
      </c>
      <c r="I126" s="295"/>
      <c r="J126" s="295">
        <v>0</v>
      </c>
      <c r="K126" s="295">
        <f t="shared" si="34"/>
        <v>0</v>
      </c>
      <c r="L126" s="295">
        <f t="shared" si="47"/>
        <v>415.584</v>
      </c>
    </row>
    <row r="127" spans="1:12" ht="20.350000000000001" customHeight="1">
      <c r="A127" s="300" t="s">
        <v>102</v>
      </c>
      <c r="B127" s="292" t="s">
        <v>782</v>
      </c>
      <c r="C127" s="294"/>
      <c r="D127" s="382">
        <f t="shared" si="46"/>
        <v>182</v>
      </c>
      <c r="E127" s="295"/>
      <c r="F127" s="295"/>
      <c r="G127" s="295"/>
      <c r="H127" s="295"/>
      <c r="I127" s="295"/>
      <c r="J127" s="295">
        <v>182</v>
      </c>
      <c r="K127" s="295"/>
      <c r="L127" s="295">
        <f t="shared" si="47"/>
        <v>182</v>
      </c>
    </row>
    <row r="128" spans="1:12" ht="30.4" customHeight="1">
      <c r="A128" s="300" t="s">
        <v>102</v>
      </c>
      <c r="B128" s="292" t="s">
        <v>790</v>
      </c>
      <c r="C128" s="294"/>
      <c r="D128" s="382">
        <f t="shared" si="46"/>
        <v>80</v>
      </c>
      <c r="E128" s="295"/>
      <c r="F128" s="295"/>
      <c r="G128" s="295"/>
      <c r="H128" s="295"/>
      <c r="I128" s="295"/>
      <c r="J128" s="295">
        <v>80</v>
      </c>
      <c r="K128" s="295">
        <f t="shared" si="34"/>
        <v>8</v>
      </c>
      <c r="L128" s="295">
        <f t="shared" si="47"/>
        <v>72</v>
      </c>
    </row>
    <row r="129" spans="1:12" ht="27.4" customHeight="1">
      <c r="A129" s="300"/>
      <c r="B129" s="301" t="s">
        <v>654</v>
      </c>
      <c r="C129" s="302"/>
      <c r="D129" s="382">
        <f t="shared" si="46"/>
        <v>300</v>
      </c>
      <c r="E129" s="295"/>
      <c r="F129" s="295"/>
      <c r="G129" s="295"/>
      <c r="H129" s="295"/>
      <c r="I129" s="295"/>
      <c r="J129" s="295">
        <v>300</v>
      </c>
      <c r="K129" s="295"/>
      <c r="L129" s="295">
        <f t="shared" si="47"/>
        <v>300</v>
      </c>
    </row>
    <row r="130" spans="1:12" ht="20.350000000000001" customHeight="1">
      <c r="A130" s="300" t="s">
        <v>102</v>
      </c>
      <c r="B130" s="301" t="s">
        <v>320</v>
      </c>
      <c r="C130" s="302"/>
      <c r="D130" s="382">
        <f t="shared" si="46"/>
        <v>285</v>
      </c>
      <c r="E130" s="295"/>
      <c r="F130" s="295"/>
      <c r="G130" s="295"/>
      <c r="H130" s="295"/>
      <c r="I130" s="295"/>
      <c r="J130" s="295">
        <v>285</v>
      </c>
      <c r="K130" s="295"/>
      <c r="L130" s="295">
        <f t="shared" si="47"/>
        <v>285</v>
      </c>
    </row>
    <row r="131" spans="1:12" ht="20.350000000000001" customHeight="1">
      <c r="A131" s="300" t="s">
        <v>102</v>
      </c>
      <c r="B131" s="301" t="s">
        <v>678</v>
      </c>
      <c r="C131" s="302"/>
      <c r="D131" s="382">
        <f t="shared" si="46"/>
        <v>112.32</v>
      </c>
      <c r="E131" s="295"/>
      <c r="F131" s="295"/>
      <c r="G131" s="295"/>
      <c r="H131" s="295"/>
      <c r="I131" s="295"/>
      <c r="J131" s="295">
        <v>112.32</v>
      </c>
      <c r="K131" s="295"/>
      <c r="L131" s="295">
        <f t="shared" si="47"/>
        <v>112.32</v>
      </c>
    </row>
    <row r="132" spans="1:12" ht="61.5">
      <c r="A132" s="300" t="s">
        <v>102</v>
      </c>
      <c r="B132" s="301" t="s">
        <v>751</v>
      </c>
      <c r="C132" s="302"/>
      <c r="D132" s="382">
        <f t="shared" si="46"/>
        <v>25</v>
      </c>
      <c r="E132" s="295"/>
      <c r="F132" s="295"/>
      <c r="G132" s="295"/>
      <c r="H132" s="295"/>
      <c r="I132" s="295"/>
      <c r="J132" s="295">
        <v>25</v>
      </c>
      <c r="K132" s="295">
        <f t="shared" si="34"/>
        <v>2.5</v>
      </c>
      <c r="L132" s="295">
        <f t="shared" si="47"/>
        <v>22.5</v>
      </c>
    </row>
    <row r="133" spans="1:12">
      <c r="A133" s="300" t="s">
        <v>102</v>
      </c>
      <c r="B133" s="301" t="s">
        <v>653</v>
      </c>
      <c r="C133" s="302"/>
      <c r="D133" s="382">
        <f t="shared" si="46"/>
        <v>25</v>
      </c>
      <c r="E133" s="295"/>
      <c r="F133" s="295"/>
      <c r="G133" s="295"/>
      <c r="H133" s="295"/>
      <c r="I133" s="295"/>
      <c r="J133" s="295">
        <v>25</v>
      </c>
      <c r="K133" s="295">
        <f t="shared" si="34"/>
        <v>2.5</v>
      </c>
      <c r="L133" s="295">
        <f t="shared" si="47"/>
        <v>22.5</v>
      </c>
    </row>
    <row r="134" spans="1:12" ht="30.4" customHeight="1">
      <c r="A134" s="300" t="s">
        <v>102</v>
      </c>
      <c r="B134" s="292" t="s">
        <v>652</v>
      </c>
      <c r="C134" s="302"/>
      <c r="D134" s="382">
        <f t="shared" si="46"/>
        <v>30</v>
      </c>
      <c r="E134" s="295"/>
      <c r="F134" s="295"/>
      <c r="G134" s="295"/>
      <c r="H134" s="295"/>
      <c r="I134" s="295"/>
      <c r="J134" s="295">
        <v>30</v>
      </c>
      <c r="K134" s="295">
        <f>(I134+J134)*10%</f>
        <v>3</v>
      </c>
      <c r="L134" s="295">
        <f t="shared" si="47"/>
        <v>27</v>
      </c>
    </row>
    <row r="135" spans="1:12" ht="30.4" customHeight="1">
      <c r="A135" s="300" t="s">
        <v>102</v>
      </c>
      <c r="B135" s="301" t="s">
        <v>875</v>
      </c>
      <c r="C135" s="302"/>
      <c r="D135" s="382">
        <f t="shared" si="46"/>
        <v>20</v>
      </c>
      <c r="E135" s="295"/>
      <c r="F135" s="295"/>
      <c r="G135" s="295"/>
      <c r="H135" s="295"/>
      <c r="I135" s="295"/>
      <c r="J135" s="295">
        <v>20</v>
      </c>
      <c r="K135" s="295"/>
      <c r="L135" s="295">
        <f t="shared" si="47"/>
        <v>20</v>
      </c>
    </row>
    <row r="136" spans="1:12" ht="123.85" customHeight="1">
      <c r="A136" s="300" t="s">
        <v>102</v>
      </c>
      <c r="B136" s="301" t="s">
        <v>762</v>
      </c>
      <c r="C136" s="302"/>
      <c r="D136" s="382">
        <f t="shared" si="46"/>
        <v>700</v>
      </c>
      <c r="E136" s="295"/>
      <c r="F136" s="295"/>
      <c r="G136" s="295"/>
      <c r="H136" s="295"/>
      <c r="I136" s="295"/>
      <c r="J136" s="295">
        <v>700</v>
      </c>
      <c r="K136" s="295">
        <f>(I136+J136)*10%</f>
        <v>70</v>
      </c>
      <c r="L136" s="295">
        <f t="shared" si="47"/>
        <v>630</v>
      </c>
    </row>
    <row r="137" spans="1:12" ht="36.85" customHeight="1">
      <c r="A137" s="300"/>
      <c r="B137" s="301" t="s">
        <v>249</v>
      </c>
      <c r="C137" s="302"/>
      <c r="D137" s="382"/>
      <c r="E137" s="295"/>
      <c r="F137" s="295"/>
      <c r="G137" s="295"/>
      <c r="H137" s="295"/>
      <c r="I137" s="295"/>
      <c r="J137" s="295"/>
      <c r="K137" s="295"/>
      <c r="L137" s="295"/>
    </row>
    <row r="138" spans="1:12" s="389" customFormat="1" ht="36.85" customHeight="1">
      <c r="A138" s="300" t="s">
        <v>461</v>
      </c>
      <c r="B138" s="540" t="s">
        <v>858</v>
      </c>
      <c r="C138" s="302"/>
      <c r="D138" s="539">
        <f t="shared" ref="D138:D142" si="48">E138+I138+J138</f>
        <v>200</v>
      </c>
      <c r="E138" s="296"/>
      <c r="F138" s="296"/>
      <c r="G138" s="296"/>
      <c r="H138" s="296"/>
      <c r="I138" s="296"/>
      <c r="J138" s="296">
        <v>200</v>
      </c>
      <c r="K138" s="296"/>
      <c r="L138" s="296">
        <v>130</v>
      </c>
    </row>
    <row r="139" spans="1:12" s="389" customFormat="1" ht="36.85" customHeight="1">
      <c r="A139" s="300" t="s">
        <v>461</v>
      </c>
      <c r="B139" s="540" t="s">
        <v>859</v>
      </c>
      <c r="C139" s="302"/>
      <c r="D139" s="539">
        <f t="shared" si="48"/>
        <v>196</v>
      </c>
      <c r="E139" s="296"/>
      <c r="F139" s="296"/>
      <c r="G139" s="296"/>
      <c r="H139" s="296"/>
      <c r="I139" s="296"/>
      <c r="J139" s="296">
        <v>196</v>
      </c>
      <c r="K139" s="296"/>
      <c r="L139" s="296">
        <v>196</v>
      </c>
    </row>
    <row r="140" spans="1:12" s="389" customFormat="1" ht="36.85" customHeight="1">
      <c r="A140" s="300" t="s">
        <v>461</v>
      </c>
      <c r="B140" s="540" t="s">
        <v>860</v>
      </c>
      <c r="C140" s="302"/>
      <c r="D140" s="539">
        <f t="shared" si="48"/>
        <v>64</v>
      </c>
      <c r="E140" s="296"/>
      <c r="F140" s="296"/>
      <c r="G140" s="296"/>
      <c r="H140" s="296"/>
      <c r="I140" s="296"/>
      <c r="J140" s="296">
        <v>64</v>
      </c>
      <c r="K140" s="296"/>
      <c r="L140" s="296">
        <v>64</v>
      </c>
    </row>
    <row r="141" spans="1:12" s="389" customFormat="1" ht="62.35" customHeight="1">
      <c r="A141" s="300" t="s">
        <v>461</v>
      </c>
      <c r="B141" s="540" t="s">
        <v>861</v>
      </c>
      <c r="C141" s="302"/>
      <c r="D141" s="539">
        <f t="shared" si="48"/>
        <v>135.27000000000001</v>
      </c>
      <c r="E141" s="296"/>
      <c r="F141" s="296"/>
      <c r="G141" s="296"/>
      <c r="H141" s="296"/>
      <c r="I141" s="296"/>
      <c r="J141" s="296">
        <v>135.27000000000001</v>
      </c>
      <c r="K141" s="296"/>
      <c r="L141" s="296">
        <v>135.27000000000001</v>
      </c>
    </row>
    <row r="142" spans="1:12" s="389" customFormat="1" ht="40.5" customHeight="1">
      <c r="A142" s="293" t="s">
        <v>461</v>
      </c>
      <c r="B142" s="540" t="s">
        <v>862</v>
      </c>
      <c r="C142" s="302"/>
      <c r="D142" s="539">
        <f t="shared" si="48"/>
        <v>104.73</v>
      </c>
      <c r="E142" s="296"/>
      <c r="F142" s="296"/>
      <c r="G142" s="296"/>
      <c r="H142" s="296"/>
      <c r="I142" s="296"/>
      <c r="J142" s="296">
        <v>104.73</v>
      </c>
      <c r="K142" s="296"/>
      <c r="L142" s="296">
        <v>104.73</v>
      </c>
    </row>
    <row r="143" spans="1:12" ht="22.9" customHeight="1">
      <c r="A143" s="300" t="s">
        <v>102</v>
      </c>
      <c r="B143" s="301" t="s">
        <v>795</v>
      </c>
      <c r="C143" s="302"/>
      <c r="D143" s="382">
        <f t="shared" ref="D143:D149" si="49">E143+I143+J143</f>
        <v>100</v>
      </c>
      <c r="E143" s="295"/>
      <c r="F143" s="295"/>
      <c r="G143" s="295"/>
      <c r="H143" s="295"/>
      <c r="I143" s="295"/>
      <c r="J143" s="295">
        <v>100</v>
      </c>
      <c r="K143" s="295">
        <f>(I143+J143)*10%</f>
        <v>10</v>
      </c>
      <c r="L143" s="295">
        <f t="shared" ref="L143:L149" si="50">D143-K143</f>
        <v>90</v>
      </c>
    </row>
    <row r="144" spans="1:12" ht="22.9" customHeight="1">
      <c r="A144" s="300" t="s">
        <v>102</v>
      </c>
      <c r="B144" s="301" t="s">
        <v>796</v>
      </c>
      <c r="C144" s="302"/>
      <c r="D144" s="382">
        <f t="shared" si="49"/>
        <v>20</v>
      </c>
      <c r="E144" s="295"/>
      <c r="F144" s="295"/>
      <c r="G144" s="295"/>
      <c r="H144" s="295"/>
      <c r="I144" s="295"/>
      <c r="J144" s="295">
        <v>20</v>
      </c>
      <c r="K144" s="295">
        <f>(I144+J144)*10%</f>
        <v>2</v>
      </c>
      <c r="L144" s="295">
        <f t="shared" si="50"/>
        <v>18</v>
      </c>
    </row>
    <row r="145" spans="1:12" ht="22.9" customHeight="1">
      <c r="A145" s="300" t="s">
        <v>102</v>
      </c>
      <c r="B145" s="301" t="s">
        <v>797</v>
      </c>
      <c r="C145" s="302"/>
      <c r="D145" s="382">
        <f t="shared" si="49"/>
        <v>40</v>
      </c>
      <c r="E145" s="295"/>
      <c r="F145" s="295"/>
      <c r="G145" s="295"/>
      <c r="H145" s="295"/>
      <c r="I145" s="295"/>
      <c r="J145" s="295">
        <v>40</v>
      </c>
      <c r="K145" s="295">
        <f>(I145+J145)*10%</f>
        <v>4</v>
      </c>
      <c r="L145" s="295">
        <f t="shared" si="50"/>
        <v>36</v>
      </c>
    </row>
    <row r="146" spans="1:12" ht="18.399999999999999" customHeight="1">
      <c r="A146" s="300" t="s">
        <v>102</v>
      </c>
      <c r="B146" s="324" t="s">
        <v>602</v>
      </c>
      <c r="C146" s="302"/>
      <c r="D146" s="382">
        <f t="shared" si="49"/>
        <v>25</v>
      </c>
      <c r="E146" s="295"/>
      <c r="F146" s="295"/>
      <c r="G146" s="295"/>
      <c r="H146" s="295"/>
      <c r="I146" s="295"/>
      <c r="J146" s="295">
        <v>25</v>
      </c>
      <c r="K146" s="295">
        <f t="shared" si="34"/>
        <v>2.5</v>
      </c>
      <c r="L146" s="295">
        <f t="shared" si="50"/>
        <v>22.5</v>
      </c>
    </row>
    <row r="147" spans="1:12" ht="18.399999999999999" customHeight="1">
      <c r="A147" s="300" t="s">
        <v>102</v>
      </c>
      <c r="B147" s="324" t="s">
        <v>749</v>
      </c>
      <c r="C147" s="302"/>
      <c r="D147" s="382">
        <f t="shared" si="49"/>
        <v>6</v>
      </c>
      <c r="E147" s="295"/>
      <c r="F147" s="295"/>
      <c r="G147" s="295"/>
      <c r="H147" s="295"/>
      <c r="I147" s="295"/>
      <c r="J147" s="295">
        <v>6</v>
      </c>
      <c r="K147" s="295"/>
      <c r="L147" s="295">
        <f t="shared" si="50"/>
        <v>6</v>
      </c>
    </row>
    <row r="148" spans="1:12" ht="18.399999999999999" customHeight="1">
      <c r="A148" s="300" t="s">
        <v>102</v>
      </c>
      <c r="B148" s="489" t="s">
        <v>719</v>
      </c>
      <c r="C148" s="302"/>
      <c r="D148" s="382">
        <f t="shared" si="49"/>
        <v>50</v>
      </c>
      <c r="E148" s="295"/>
      <c r="F148" s="295"/>
      <c r="G148" s="295"/>
      <c r="H148" s="295"/>
      <c r="I148" s="295"/>
      <c r="J148" s="295">
        <v>50</v>
      </c>
      <c r="K148" s="295">
        <f t="shared" ref="K148:K149" si="51">(I148+J148)*10%</f>
        <v>5</v>
      </c>
      <c r="L148" s="295">
        <f t="shared" si="50"/>
        <v>45</v>
      </c>
    </row>
    <row r="149" spans="1:12">
      <c r="A149" s="300" t="s">
        <v>102</v>
      </c>
      <c r="B149" s="324" t="s">
        <v>769</v>
      </c>
      <c r="C149" s="302"/>
      <c r="D149" s="382">
        <f t="shared" si="49"/>
        <v>100</v>
      </c>
      <c r="E149" s="295"/>
      <c r="F149" s="295"/>
      <c r="G149" s="295"/>
      <c r="H149" s="295"/>
      <c r="I149" s="295"/>
      <c r="J149" s="295">
        <v>100</v>
      </c>
      <c r="K149" s="295">
        <f t="shared" si="51"/>
        <v>10</v>
      </c>
      <c r="L149" s="295">
        <f t="shared" si="50"/>
        <v>90</v>
      </c>
    </row>
    <row r="150" spans="1:12" s="357" customFormat="1" ht="21" customHeight="1">
      <c r="A150" s="298" t="s">
        <v>88</v>
      </c>
      <c r="B150" s="312" t="s">
        <v>210</v>
      </c>
      <c r="C150" s="322">
        <f>C152+C164+C175+C182+C191</f>
        <v>20</v>
      </c>
      <c r="D150" s="299">
        <f t="shared" ref="D150:L150" si="52">D151+D163+D174+D181+D190</f>
        <v>6468.4549999999999</v>
      </c>
      <c r="E150" s="299">
        <f t="shared" si="52"/>
        <v>4597.6549999999997</v>
      </c>
      <c r="F150" s="299">
        <f t="shared" si="52"/>
        <v>2803.8760000000002</v>
      </c>
      <c r="G150" s="299">
        <f t="shared" si="52"/>
        <v>583.35399999999993</v>
      </c>
      <c r="H150" s="299">
        <f t="shared" si="52"/>
        <v>1210.4250000000002</v>
      </c>
      <c r="I150" s="299">
        <f t="shared" si="52"/>
        <v>745.20000000000016</v>
      </c>
      <c r="J150" s="299">
        <f t="shared" si="52"/>
        <v>1125.5999999999999</v>
      </c>
      <c r="K150" s="299">
        <f t="shared" si="52"/>
        <v>179.88</v>
      </c>
      <c r="L150" s="299">
        <f t="shared" si="52"/>
        <v>6127.482</v>
      </c>
    </row>
    <row r="151" spans="1:12" s="357" customFormat="1" ht="21" customHeight="1">
      <c r="A151" s="336" t="s">
        <v>69</v>
      </c>
      <c r="B151" s="312" t="s">
        <v>117</v>
      </c>
      <c r="C151" s="547">
        <f>C152</f>
        <v>6</v>
      </c>
      <c r="D151" s="299">
        <f>SUM(D152:D162)</f>
        <v>2041.7239999999999</v>
      </c>
      <c r="E151" s="299">
        <f t="shared" ref="E151:L151" si="53">SUM(E152:E162)</f>
        <v>1434.7239999999999</v>
      </c>
      <c r="F151" s="299">
        <f t="shared" si="53"/>
        <v>875.17600000000004</v>
      </c>
      <c r="G151" s="299">
        <f t="shared" ref="G151:H151" si="54">SUM(G152:G162)</f>
        <v>182.083</v>
      </c>
      <c r="H151" s="299">
        <f t="shared" si="54"/>
        <v>377.46499999999997</v>
      </c>
      <c r="I151" s="299">
        <f t="shared" si="53"/>
        <v>291.60000000000002</v>
      </c>
      <c r="J151" s="299">
        <f t="shared" si="53"/>
        <v>315.39999999999998</v>
      </c>
      <c r="K151" s="299">
        <f t="shared" si="53"/>
        <v>59.5</v>
      </c>
      <c r="L151" s="299">
        <f t="shared" si="53"/>
        <v>1921.9369999999997</v>
      </c>
    </row>
    <row r="152" spans="1:12" ht="21" customHeight="1">
      <c r="A152" s="337" t="s">
        <v>102</v>
      </c>
      <c r="B152" s="292" t="s">
        <v>211</v>
      </c>
      <c r="C152" s="294">
        <v>6</v>
      </c>
      <c r="D152" s="382">
        <f t="shared" ref="D152:D162" si="55">E152+I152+J152</f>
        <v>1666.0369999999998</v>
      </c>
      <c r="E152" s="295">
        <f>F152+G152+H152</f>
        <v>1374.4369999999999</v>
      </c>
      <c r="F152" s="295">
        <v>875.17600000000004</v>
      </c>
      <c r="G152" s="295">
        <v>182.083</v>
      </c>
      <c r="H152" s="295">
        <v>317.178</v>
      </c>
      <c r="I152" s="295">
        <f>C152*27*1.8</f>
        <v>291.60000000000002</v>
      </c>
      <c r="J152" s="295"/>
      <c r="K152" s="295">
        <f t="shared" ref="K152:K195" si="56">(I152+J152)*10%</f>
        <v>29.160000000000004</v>
      </c>
      <c r="L152" s="295">
        <f t="shared" ref="L152:L162" si="57">D152-K152</f>
        <v>1636.8769999999997</v>
      </c>
    </row>
    <row r="153" spans="1:12" ht="21" customHeight="1">
      <c r="A153" s="309" t="s">
        <v>102</v>
      </c>
      <c r="B153" s="304" t="s">
        <v>864</v>
      </c>
      <c r="C153" s="294"/>
      <c r="D153" s="382">
        <f t="shared" si="55"/>
        <v>60.286999999999999</v>
      </c>
      <c r="E153" s="295">
        <f>F153+G153+H153</f>
        <v>60.286999999999999</v>
      </c>
      <c r="F153" s="295"/>
      <c r="G153" s="295"/>
      <c r="H153" s="295">
        <v>60.286999999999999</v>
      </c>
      <c r="I153" s="295"/>
      <c r="J153" s="295"/>
      <c r="K153" s="295"/>
      <c r="L153" s="295"/>
    </row>
    <row r="154" spans="1:12" ht="21" customHeight="1">
      <c r="A154" s="337" t="s">
        <v>102</v>
      </c>
      <c r="B154" s="292" t="s">
        <v>580</v>
      </c>
      <c r="C154" s="294"/>
      <c r="D154" s="382">
        <f t="shared" si="55"/>
        <v>23.4</v>
      </c>
      <c r="E154" s="295"/>
      <c r="F154" s="295"/>
      <c r="G154" s="295"/>
      <c r="H154" s="295"/>
      <c r="I154" s="295"/>
      <c r="J154" s="295">
        <v>23.4</v>
      </c>
      <c r="K154" s="295">
        <f t="shared" si="56"/>
        <v>2.34</v>
      </c>
      <c r="L154" s="295">
        <f t="shared" si="57"/>
        <v>21.06</v>
      </c>
    </row>
    <row r="155" spans="1:12" ht="22.9" customHeight="1">
      <c r="A155" s="337" t="s">
        <v>102</v>
      </c>
      <c r="B155" s="292" t="s">
        <v>603</v>
      </c>
      <c r="C155" s="294"/>
      <c r="D155" s="382">
        <f t="shared" si="55"/>
        <v>50</v>
      </c>
      <c r="E155" s="295"/>
      <c r="F155" s="295"/>
      <c r="G155" s="295"/>
      <c r="H155" s="295"/>
      <c r="I155" s="295"/>
      <c r="J155" s="295">
        <v>50</v>
      </c>
      <c r="K155" s="295">
        <f t="shared" si="56"/>
        <v>5</v>
      </c>
      <c r="L155" s="295">
        <f t="shared" si="57"/>
        <v>45</v>
      </c>
    </row>
    <row r="156" spans="1:12" ht="21" customHeight="1">
      <c r="A156" s="337" t="s">
        <v>102</v>
      </c>
      <c r="B156" s="292" t="s">
        <v>604</v>
      </c>
      <c r="C156" s="294"/>
      <c r="D156" s="382">
        <f t="shared" si="55"/>
        <v>50</v>
      </c>
      <c r="E156" s="295"/>
      <c r="F156" s="295"/>
      <c r="G156" s="295"/>
      <c r="H156" s="295"/>
      <c r="I156" s="295"/>
      <c r="J156" s="295">
        <v>50</v>
      </c>
      <c r="K156" s="295">
        <f t="shared" si="56"/>
        <v>5</v>
      </c>
      <c r="L156" s="295">
        <f t="shared" si="57"/>
        <v>45</v>
      </c>
    </row>
    <row r="157" spans="1:12" ht="30.75">
      <c r="A157" s="337" t="s">
        <v>102</v>
      </c>
      <c r="B157" s="292" t="s">
        <v>327</v>
      </c>
      <c r="C157" s="294"/>
      <c r="D157" s="382">
        <f t="shared" si="55"/>
        <v>40</v>
      </c>
      <c r="E157" s="295"/>
      <c r="F157" s="295"/>
      <c r="G157" s="295"/>
      <c r="H157" s="295"/>
      <c r="I157" s="295"/>
      <c r="J157" s="295">
        <v>40</v>
      </c>
      <c r="K157" s="295">
        <f t="shared" si="56"/>
        <v>4</v>
      </c>
      <c r="L157" s="295">
        <f t="shared" si="57"/>
        <v>36</v>
      </c>
    </row>
    <row r="158" spans="1:12" ht="30.75">
      <c r="A158" s="337" t="s">
        <v>102</v>
      </c>
      <c r="B158" s="292" t="s">
        <v>328</v>
      </c>
      <c r="C158" s="294"/>
      <c r="D158" s="382">
        <f t="shared" si="55"/>
        <v>30</v>
      </c>
      <c r="E158" s="295"/>
      <c r="F158" s="295"/>
      <c r="G158" s="295"/>
      <c r="H158" s="295"/>
      <c r="I158" s="295"/>
      <c r="J158" s="295">
        <v>30</v>
      </c>
      <c r="K158" s="295">
        <f t="shared" si="56"/>
        <v>3</v>
      </c>
      <c r="L158" s="295">
        <f t="shared" si="57"/>
        <v>27</v>
      </c>
    </row>
    <row r="159" spans="1:12" ht="30.75">
      <c r="A159" s="337" t="s">
        <v>102</v>
      </c>
      <c r="B159" s="292" t="s">
        <v>606</v>
      </c>
      <c r="C159" s="294"/>
      <c r="D159" s="382">
        <f t="shared" si="55"/>
        <v>30</v>
      </c>
      <c r="E159" s="295"/>
      <c r="F159" s="295"/>
      <c r="G159" s="295"/>
      <c r="H159" s="295"/>
      <c r="I159" s="295"/>
      <c r="J159" s="295">
        <v>30</v>
      </c>
      <c r="K159" s="295">
        <f t="shared" si="56"/>
        <v>3</v>
      </c>
      <c r="L159" s="295">
        <f t="shared" si="57"/>
        <v>27</v>
      </c>
    </row>
    <row r="160" spans="1:12">
      <c r="A160" s="337" t="s">
        <v>102</v>
      </c>
      <c r="B160" s="292" t="s">
        <v>605</v>
      </c>
      <c r="C160" s="294"/>
      <c r="D160" s="382">
        <f t="shared" si="55"/>
        <v>50</v>
      </c>
      <c r="E160" s="295"/>
      <c r="F160" s="295"/>
      <c r="G160" s="295"/>
      <c r="H160" s="295"/>
      <c r="I160" s="295"/>
      <c r="J160" s="295">
        <v>50</v>
      </c>
      <c r="K160" s="295">
        <f t="shared" si="56"/>
        <v>5</v>
      </c>
      <c r="L160" s="295">
        <f t="shared" si="57"/>
        <v>45</v>
      </c>
    </row>
    <row r="161" spans="1:12" ht="30.75">
      <c r="A161" s="337" t="s">
        <v>102</v>
      </c>
      <c r="B161" s="292" t="s">
        <v>591</v>
      </c>
      <c r="C161" s="294"/>
      <c r="D161" s="382">
        <f t="shared" si="55"/>
        <v>30</v>
      </c>
      <c r="E161" s="295"/>
      <c r="F161" s="295"/>
      <c r="G161" s="295"/>
      <c r="H161" s="295"/>
      <c r="I161" s="295"/>
      <c r="J161" s="295">
        <v>30</v>
      </c>
      <c r="K161" s="295">
        <f t="shared" si="56"/>
        <v>3</v>
      </c>
      <c r="L161" s="295">
        <f t="shared" si="57"/>
        <v>27</v>
      </c>
    </row>
    <row r="162" spans="1:12" ht="30.75">
      <c r="A162" s="337" t="s">
        <v>102</v>
      </c>
      <c r="B162" s="292" t="s">
        <v>704</v>
      </c>
      <c r="C162" s="294"/>
      <c r="D162" s="382">
        <f t="shared" si="55"/>
        <v>12</v>
      </c>
      <c r="E162" s="295"/>
      <c r="F162" s="295"/>
      <c r="G162" s="295"/>
      <c r="H162" s="295"/>
      <c r="I162" s="295"/>
      <c r="J162" s="295">
        <v>12</v>
      </c>
      <c r="K162" s="295"/>
      <c r="L162" s="295">
        <f t="shared" si="57"/>
        <v>12</v>
      </c>
    </row>
    <row r="163" spans="1:12" ht="19.5" customHeight="1">
      <c r="A163" s="311" t="s">
        <v>70</v>
      </c>
      <c r="B163" s="288" t="s">
        <v>118</v>
      </c>
      <c r="C163" s="547">
        <f>C164</f>
        <v>4</v>
      </c>
      <c r="D163" s="299">
        <f>SUM(D164:D173)</f>
        <v>1184.4270000000001</v>
      </c>
      <c r="E163" s="299">
        <f t="shared" ref="E163:L163" si="58">SUM(E164:E173)</f>
        <v>731.42700000000002</v>
      </c>
      <c r="F163" s="299">
        <f t="shared" si="58"/>
        <v>448.75200000000001</v>
      </c>
      <c r="G163" s="299">
        <f t="shared" si="58"/>
        <v>93.364000000000004</v>
      </c>
      <c r="H163" s="299">
        <f t="shared" si="58"/>
        <v>189.31099999999998</v>
      </c>
      <c r="I163" s="299">
        <f t="shared" si="58"/>
        <v>129.6</v>
      </c>
      <c r="J163" s="299">
        <f t="shared" si="58"/>
        <v>323.39999999999998</v>
      </c>
      <c r="K163" s="299">
        <f t="shared" si="58"/>
        <v>39.299999999999997</v>
      </c>
      <c r="L163" s="299">
        <f t="shared" si="58"/>
        <v>1118.451</v>
      </c>
    </row>
    <row r="164" spans="1:12" ht="19.5" customHeight="1">
      <c r="A164" s="300" t="s">
        <v>102</v>
      </c>
      <c r="B164" s="292" t="s">
        <v>211</v>
      </c>
      <c r="C164" s="294">
        <v>4</v>
      </c>
      <c r="D164" s="382">
        <f t="shared" ref="D164:D173" si="59">E164+I164+J164</f>
        <v>834.351</v>
      </c>
      <c r="E164" s="295">
        <f>F164+G164+H164</f>
        <v>704.75099999999998</v>
      </c>
      <c r="F164" s="295">
        <v>448.75200000000001</v>
      </c>
      <c r="G164" s="295">
        <v>93.364000000000004</v>
      </c>
      <c r="H164" s="295">
        <v>162.63499999999999</v>
      </c>
      <c r="I164" s="295">
        <f>C164*27*1.2</f>
        <v>129.6</v>
      </c>
      <c r="J164" s="295"/>
      <c r="K164" s="295">
        <f t="shared" si="56"/>
        <v>12.96</v>
      </c>
      <c r="L164" s="295">
        <f t="shared" ref="L164:L173" si="60">D164-K164</f>
        <v>821.39099999999996</v>
      </c>
    </row>
    <row r="165" spans="1:12" ht="19.5" customHeight="1">
      <c r="A165" s="309" t="s">
        <v>102</v>
      </c>
      <c r="B165" s="304" t="s">
        <v>864</v>
      </c>
      <c r="C165" s="294"/>
      <c r="D165" s="382">
        <f t="shared" si="59"/>
        <v>26.676000000000002</v>
      </c>
      <c r="E165" s="295">
        <f>F165+G165+H165</f>
        <v>26.676000000000002</v>
      </c>
      <c r="F165" s="295"/>
      <c r="G165" s="295"/>
      <c r="H165" s="295">
        <v>26.676000000000002</v>
      </c>
      <c r="I165" s="295"/>
      <c r="J165" s="295"/>
      <c r="K165" s="295"/>
      <c r="L165" s="295"/>
    </row>
    <row r="166" spans="1:12" ht="19.5" customHeight="1">
      <c r="A166" s="300" t="s">
        <v>102</v>
      </c>
      <c r="B166" s="292" t="s">
        <v>580</v>
      </c>
      <c r="C166" s="294"/>
      <c r="D166" s="382">
        <f t="shared" si="59"/>
        <v>23.4</v>
      </c>
      <c r="E166" s="295"/>
      <c r="F166" s="295"/>
      <c r="G166" s="295"/>
      <c r="H166" s="295"/>
      <c r="I166" s="295"/>
      <c r="J166" s="295">
        <v>23.4</v>
      </c>
      <c r="K166" s="295">
        <f t="shared" si="56"/>
        <v>2.34</v>
      </c>
      <c r="L166" s="295">
        <f t="shared" si="60"/>
        <v>21.06</v>
      </c>
    </row>
    <row r="167" spans="1:12" ht="19.5" customHeight="1">
      <c r="A167" s="300" t="s">
        <v>102</v>
      </c>
      <c r="B167" s="518" t="s">
        <v>798</v>
      </c>
      <c r="C167" s="294"/>
      <c r="D167" s="382">
        <f t="shared" si="59"/>
        <v>30</v>
      </c>
      <c r="E167" s="295"/>
      <c r="F167" s="295"/>
      <c r="G167" s="295"/>
      <c r="H167" s="295"/>
      <c r="I167" s="295"/>
      <c r="J167" s="295">
        <v>30</v>
      </c>
      <c r="K167" s="295">
        <f t="shared" ref="K167:K168" si="61">(I167+J167)*10%</f>
        <v>3</v>
      </c>
      <c r="L167" s="295">
        <f t="shared" si="60"/>
        <v>27</v>
      </c>
    </row>
    <row r="168" spans="1:12" ht="19.5" customHeight="1">
      <c r="A168" s="300" t="s">
        <v>102</v>
      </c>
      <c r="B168" s="518" t="s">
        <v>799</v>
      </c>
      <c r="C168" s="294"/>
      <c r="D168" s="382">
        <f t="shared" si="59"/>
        <v>30</v>
      </c>
      <c r="E168" s="295"/>
      <c r="F168" s="295"/>
      <c r="G168" s="295"/>
      <c r="H168" s="295"/>
      <c r="I168" s="295"/>
      <c r="J168" s="295">
        <v>30</v>
      </c>
      <c r="K168" s="295">
        <f t="shared" si="61"/>
        <v>3</v>
      </c>
      <c r="L168" s="295">
        <f t="shared" si="60"/>
        <v>27</v>
      </c>
    </row>
    <row r="169" spans="1:12" ht="30.75">
      <c r="A169" s="300" t="s">
        <v>102</v>
      </c>
      <c r="B169" s="301" t="s">
        <v>607</v>
      </c>
      <c r="C169" s="294"/>
      <c r="D169" s="382">
        <f t="shared" si="59"/>
        <v>50</v>
      </c>
      <c r="E169" s="295"/>
      <c r="F169" s="295"/>
      <c r="G169" s="295"/>
      <c r="H169" s="295"/>
      <c r="I169" s="295"/>
      <c r="J169" s="295">
        <v>50</v>
      </c>
      <c r="K169" s="295">
        <f t="shared" si="56"/>
        <v>5</v>
      </c>
      <c r="L169" s="295">
        <f t="shared" si="60"/>
        <v>45</v>
      </c>
    </row>
    <row r="170" spans="1:12" ht="30.75">
      <c r="A170" s="300" t="s">
        <v>102</v>
      </c>
      <c r="B170" s="292" t="s">
        <v>656</v>
      </c>
      <c r="C170" s="294"/>
      <c r="D170" s="382">
        <f t="shared" si="59"/>
        <v>80</v>
      </c>
      <c r="E170" s="295"/>
      <c r="F170" s="295"/>
      <c r="G170" s="295"/>
      <c r="H170" s="295"/>
      <c r="I170" s="295"/>
      <c r="J170" s="295">
        <v>80</v>
      </c>
      <c r="K170" s="295">
        <f t="shared" si="56"/>
        <v>8</v>
      </c>
      <c r="L170" s="295">
        <f t="shared" si="60"/>
        <v>72</v>
      </c>
    </row>
    <row r="171" spans="1:12" ht="25.25" customHeight="1">
      <c r="A171" s="300" t="s">
        <v>102</v>
      </c>
      <c r="B171" s="292" t="s">
        <v>608</v>
      </c>
      <c r="C171" s="294"/>
      <c r="D171" s="382">
        <f t="shared" si="59"/>
        <v>60</v>
      </c>
      <c r="E171" s="295"/>
      <c r="F171" s="295"/>
      <c r="G171" s="295"/>
      <c r="H171" s="295"/>
      <c r="I171" s="295"/>
      <c r="J171" s="295">
        <v>60</v>
      </c>
      <c r="K171" s="295"/>
      <c r="L171" s="295">
        <f t="shared" si="60"/>
        <v>60</v>
      </c>
    </row>
    <row r="172" spans="1:12" ht="18.850000000000001" customHeight="1">
      <c r="A172" s="300" t="s">
        <v>102</v>
      </c>
      <c r="B172" s="292" t="s">
        <v>720</v>
      </c>
      <c r="C172" s="294"/>
      <c r="D172" s="382">
        <f t="shared" si="59"/>
        <v>20</v>
      </c>
      <c r="E172" s="295"/>
      <c r="F172" s="295"/>
      <c r="G172" s="295"/>
      <c r="H172" s="295"/>
      <c r="I172" s="295"/>
      <c r="J172" s="295">
        <v>20</v>
      </c>
      <c r="K172" s="295">
        <f t="shared" ref="K172:K173" si="62">(I172+J172)*10%</f>
        <v>2</v>
      </c>
      <c r="L172" s="295">
        <f t="shared" si="60"/>
        <v>18</v>
      </c>
    </row>
    <row r="173" spans="1:12" ht="18.850000000000001" customHeight="1">
      <c r="A173" s="300" t="s">
        <v>102</v>
      </c>
      <c r="B173" s="292" t="s">
        <v>721</v>
      </c>
      <c r="C173" s="294"/>
      <c r="D173" s="382">
        <f t="shared" si="59"/>
        <v>30</v>
      </c>
      <c r="E173" s="295"/>
      <c r="F173" s="295"/>
      <c r="G173" s="295"/>
      <c r="H173" s="295"/>
      <c r="I173" s="295"/>
      <c r="J173" s="295">
        <v>30</v>
      </c>
      <c r="K173" s="295">
        <f t="shared" si="62"/>
        <v>3</v>
      </c>
      <c r="L173" s="295">
        <f t="shared" si="60"/>
        <v>27</v>
      </c>
    </row>
    <row r="174" spans="1:12" ht="18.850000000000001" customHeight="1">
      <c r="A174" s="311" t="s">
        <v>72</v>
      </c>
      <c r="B174" s="288" t="s">
        <v>120</v>
      </c>
      <c r="C174" s="547">
        <f>C175</f>
        <v>3</v>
      </c>
      <c r="D174" s="299">
        <f>SUM(D175:D180)</f>
        <v>1123.5450000000001</v>
      </c>
      <c r="E174" s="299">
        <f t="shared" ref="E174:K174" si="63">SUM(E175:E180)</f>
        <v>902.94499999999994</v>
      </c>
      <c r="F174" s="299">
        <f t="shared" si="63"/>
        <v>548.86599999999999</v>
      </c>
      <c r="G174" s="299">
        <f t="shared" si="63"/>
        <v>114.193</v>
      </c>
      <c r="H174" s="299">
        <f t="shared" si="63"/>
        <v>239.88600000000002</v>
      </c>
      <c r="I174" s="299">
        <f t="shared" si="63"/>
        <v>97.2</v>
      </c>
      <c r="J174" s="299">
        <f t="shared" si="63"/>
        <v>123.4</v>
      </c>
      <c r="K174" s="299">
        <f t="shared" si="63"/>
        <v>22.060000000000002</v>
      </c>
      <c r="L174" s="299">
        <f>SUM(L175:L180)</f>
        <v>1060.5169999999998</v>
      </c>
    </row>
    <row r="175" spans="1:12" ht="18.850000000000001" customHeight="1">
      <c r="A175" s="300" t="s">
        <v>102</v>
      </c>
      <c r="B175" s="292" t="s">
        <v>211</v>
      </c>
      <c r="C175" s="294">
        <v>3</v>
      </c>
      <c r="D175" s="382">
        <f t="shared" ref="D175:D180" si="64">E175+I175+J175</f>
        <v>959.17700000000002</v>
      </c>
      <c r="E175" s="295">
        <f>F175+G175+H175</f>
        <v>861.97699999999998</v>
      </c>
      <c r="F175" s="295">
        <v>548.86599999999999</v>
      </c>
      <c r="G175" s="295">
        <v>114.193</v>
      </c>
      <c r="H175" s="295">
        <v>198.91800000000001</v>
      </c>
      <c r="I175" s="295">
        <f>C175*27*1.2</f>
        <v>97.2</v>
      </c>
      <c r="J175" s="295"/>
      <c r="K175" s="295">
        <f t="shared" si="56"/>
        <v>9.7200000000000006</v>
      </c>
      <c r="L175" s="295">
        <f>D175-K175</f>
        <v>949.45699999999999</v>
      </c>
    </row>
    <row r="176" spans="1:12" ht="18.850000000000001" customHeight="1">
      <c r="A176" s="309" t="s">
        <v>102</v>
      </c>
      <c r="B176" s="304" t="s">
        <v>864</v>
      </c>
      <c r="C176" s="294"/>
      <c r="D176" s="382">
        <f t="shared" si="64"/>
        <v>40.968000000000004</v>
      </c>
      <c r="E176" s="295">
        <f>F176+G176+H176</f>
        <v>40.968000000000004</v>
      </c>
      <c r="F176" s="295"/>
      <c r="G176" s="295"/>
      <c r="H176" s="295">
        <v>40.968000000000004</v>
      </c>
      <c r="I176" s="295"/>
      <c r="J176" s="295"/>
      <c r="K176" s="295"/>
      <c r="L176" s="295"/>
    </row>
    <row r="177" spans="1:12" ht="18.850000000000001" customHeight="1">
      <c r="A177" s="300" t="s">
        <v>102</v>
      </c>
      <c r="B177" s="292" t="s">
        <v>580</v>
      </c>
      <c r="C177" s="294"/>
      <c r="D177" s="382">
        <f t="shared" si="64"/>
        <v>23.4</v>
      </c>
      <c r="E177" s="295"/>
      <c r="F177" s="295"/>
      <c r="G177" s="295"/>
      <c r="H177" s="295"/>
      <c r="I177" s="295"/>
      <c r="J177" s="295">
        <v>23.4</v>
      </c>
      <c r="K177" s="295">
        <f t="shared" si="56"/>
        <v>2.34</v>
      </c>
      <c r="L177" s="295">
        <f>D177-K177</f>
        <v>21.06</v>
      </c>
    </row>
    <row r="178" spans="1:12" ht="18.850000000000001" customHeight="1">
      <c r="A178" s="300" t="s">
        <v>102</v>
      </c>
      <c r="B178" s="292" t="s">
        <v>610</v>
      </c>
      <c r="C178" s="294"/>
      <c r="D178" s="382">
        <f t="shared" si="64"/>
        <v>20</v>
      </c>
      <c r="E178" s="295"/>
      <c r="F178" s="295"/>
      <c r="G178" s="295"/>
      <c r="H178" s="295"/>
      <c r="I178" s="295"/>
      <c r="J178" s="295">
        <v>20</v>
      </c>
      <c r="K178" s="295">
        <f t="shared" si="56"/>
        <v>2</v>
      </c>
      <c r="L178" s="295">
        <f>D178-K178</f>
        <v>18</v>
      </c>
    </row>
    <row r="179" spans="1:12" ht="18.850000000000001" customHeight="1">
      <c r="A179" s="300" t="s">
        <v>102</v>
      </c>
      <c r="B179" s="292" t="s">
        <v>609</v>
      </c>
      <c r="C179" s="294"/>
      <c r="D179" s="382">
        <f t="shared" si="64"/>
        <v>50</v>
      </c>
      <c r="E179" s="295"/>
      <c r="F179" s="295"/>
      <c r="G179" s="295"/>
      <c r="H179" s="295"/>
      <c r="I179" s="295"/>
      <c r="J179" s="295">
        <v>50</v>
      </c>
      <c r="K179" s="295">
        <f t="shared" si="56"/>
        <v>5</v>
      </c>
      <c r="L179" s="295">
        <f>D179-K179</f>
        <v>45</v>
      </c>
    </row>
    <row r="180" spans="1:12" ht="18.850000000000001" customHeight="1">
      <c r="A180" s="300" t="s">
        <v>102</v>
      </c>
      <c r="B180" s="292" t="s">
        <v>772</v>
      </c>
      <c r="C180" s="294"/>
      <c r="D180" s="382">
        <f t="shared" si="64"/>
        <v>30</v>
      </c>
      <c r="E180" s="295"/>
      <c r="F180" s="295"/>
      <c r="G180" s="295"/>
      <c r="H180" s="295"/>
      <c r="I180" s="295"/>
      <c r="J180" s="295">
        <v>30</v>
      </c>
      <c r="K180" s="295">
        <f t="shared" ref="K180" si="65">(I180+J180)*10%</f>
        <v>3</v>
      </c>
      <c r="L180" s="295">
        <f>D180-K180</f>
        <v>27</v>
      </c>
    </row>
    <row r="181" spans="1:12" ht="18.850000000000001" customHeight="1">
      <c r="A181" s="311" t="s">
        <v>73</v>
      </c>
      <c r="B181" s="288" t="s">
        <v>82</v>
      </c>
      <c r="C181" s="547">
        <f>C182</f>
        <v>4</v>
      </c>
      <c r="D181" s="299">
        <f>SUM(D182:D189)</f>
        <v>1228.4929999999999</v>
      </c>
      <c r="E181" s="299">
        <f t="shared" ref="E181:K181" si="66">SUM(E182:E189)</f>
        <v>845.49300000000005</v>
      </c>
      <c r="F181" s="299">
        <f t="shared" si="66"/>
        <v>517.25400000000002</v>
      </c>
      <c r="G181" s="299">
        <f t="shared" si="66"/>
        <v>107.616</v>
      </c>
      <c r="H181" s="299">
        <f t="shared" si="66"/>
        <v>220.62300000000002</v>
      </c>
      <c r="I181" s="299">
        <f t="shared" si="66"/>
        <v>129.6</v>
      </c>
      <c r="J181" s="299">
        <f>SUM(J182:J189)</f>
        <v>253.4</v>
      </c>
      <c r="K181" s="299">
        <f t="shared" si="66"/>
        <v>38.299999999999997</v>
      </c>
      <c r="L181" s="299">
        <f>SUM(L182:L189)</f>
        <v>1157.0309999999999</v>
      </c>
    </row>
    <row r="182" spans="1:12" ht="18.850000000000001" customHeight="1">
      <c r="A182" s="300" t="s">
        <v>102</v>
      </c>
      <c r="B182" s="292" t="s">
        <v>211</v>
      </c>
      <c r="C182" s="294">
        <v>4</v>
      </c>
      <c r="D182" s="382">
        <f t="shared" ref="D182:D189" si="67">E182+I182+J182</f>
        <v>941.93100000000004</v>
      </c>
      <c r="E182" s="295">
        <f>F182+G182+H182</f>
        <v>812.33100000000002</v>
      </c>
      <c r="F182" s="295">
        <v>517.25400000000002</v>
      </c>
      <c r="G182" s="295">
        <v>107.616</v>
      </c>
      <c r="H182" s="295">
        <v>187.46100000000001</v>
      </c>
      <c r="I182" s="295">
        <f>C182*27*1.2</f>
        <v>129.6</v>
      </c>
      <c r="J182" s="295"/>
      <c r="K182" s="295">
        <f t="shared" si="56"/>
        <v>12.96</v>
      </c>
      <c r="L182" s="295">
        <f t="shared" ref="L182:L189" si="68">D182-K182</f>
        <v>928.971</v>
      </c>
    </row>
    <row r="183" spans="1:12" ht="18.850000000000001" customHeight="1">
      <c r="A183" s="309" t="s">
        <v>102</v>
      </c>
      <c r="B183" s="304" t="s">
        <v>864</v>
      </c>
      <c r="C183" s="294"/>
      <c r="D183" s="382">
        <f t="shared" si="67"/>
        <v>33.161999999999999</v>
      </c>
      <c r="E183" s="295">
        <f>F183+G183+H183</f>
        <v>33.161999999999999</v>
      </c>
      <c r="F183" s="295"/>
      <c r="G183" s="295"/>
      <c r="H183" s="295">
        <v>33.161999999999999</v>
      </c>
      <c r="I183" s="295"/>
      <c r="J183" s="295"/>
      <c r="K183" s="295"/>
      <c r="L183" s="295"/>
    </row>
    <row r="184" spans="1:12" ht="18.850000000000001" customHeight="1">
      <c r="A184" s="300" t="s">
        <v>102</v>
      </c>
      <c r="B184" s="292" t="s">
        <v>580</v>
      </c>
      <c r="C184" s="294"/>
      <c r="D184" s="382">
        <f t="shared" si="67"/>
        <v>23.4</v>
      </c>
      <c r="E184" s="295"/>
      <c r="F184" s="295"/>
      <c r="G184" s="295"/>
      <c r="H184" s="295"/>
      <c r="I184" s="295"/>
      <c r="J184" s="295">
        <v>23.4</v>
      </c>
      <c r="K184" s="295">
        <f t="shared" si="56"/>
        <v>2.34</v>
      </c>
      <c r="L184" s="295">
        <f t="shared" si="68"/>
        <v>21.06</v>
      </c>
    </row>
    <row r="185" spans="1:12" ht="18.850000000000001" customHeight="1">
      <c r="A185" s="300" t="s">
        <v>102</v>
      </c>
      <c r="B185" s="292" t="s">
        <v>611</v>
      </c>
      <c r="C185" s="294"/>
      <c r="D185" s="382">
        <f t="shared" si="67"/>
        <v>30</v>
      </c>
      <c r="E185" s="295"/>
      <c r="F185" s="295"/>
      <c r="G185" s="295"/>
      <c r="H185" s="295"/>
      <c r="I185" s="295"/>
      <c r="J185" s="295">
        <v>30</v>
      </c>
      <c r="K185" s="295">
        <f t="shared" si="56"/>
        <v>3</v>
      </c>
      <c r="L185" s="295">
        <f t="shared" si="68"/>
        <v>27</v>
      </c>
    </row>
    <row r="186" spans="1:12" ht="18.850000000000001" customHeight="1">
      <c r="A186" s="300" t="s">
        <v>102</v>
      </c>
      <c r="B186" s="292" t="s">
        <v>612</v>
      </c>
      <c r="C186" s="294"/>
      <c r="D186" s="382">
        <f t="shared" si="67"/>
        <v>40</v>
      </c>
      <c r="E186" s="295"/>
      <c r="F186" s="295"/>
      <c r="G186" s="295"/>
      <c r="H186" s="295"/>
      <c r="I186" s="295"/>
      <c r="J186" s="295">
        <v>40</v>
      </c>
      <c r="K186" s="295">
        <f t="shared" si="56"/>
        <v>4</v>
      </c>
      <c r="L186" s="295">
        <f t="shared" si="68"/>
        <v>36</v>
      </c>
    </row>
    <row r="187" spans="1:12" ht="46.15">
      <c r="A187" s="300" t="s">
        <v>102</v>
      </c>
      <c r="B187" s="292" t="s">
        <v>613</v>
      </c>
      <c r="C187" s="294"/>
      <c r="D187" s="382">
        <f t="shared" si="67"/>
        <v>50</v>
      </c>
      <c r="E187" s="295"/>
      <c r="F187" s="295"/>
      <c r="G187" s="295"/>
      <c r="H187" s="295"/>
      <c r="I187" s="295"/>
      <c r="J187" s="295">
        <v>50</v>
      </c>
      <c r="K187" s="295">
        <f t="shared" si="56"/>
        <v>5</v>
      </c>
      <c r="L187" s="295">
        <f t="shared" si="68"/>
        <v>45</v>
      </c>
    </row>
    <row r="188" spans="1:12" ht="30.75">
      <c r="A188" s="300" t="s">
        <v>102</v>
      </c>
      <c r="B188" s="292" t="s">
        <v>614</v>
      </c>
      <c r="C188" s="294"/>
      <c r="D188" s="382">
        <f t="shared" si="67"/>
        <v>70</v>
      </c>
      <c r="E188" s="295"/>
      <c r="F188" s="295"/>
      <c r="G188" s="295"/>
      <c r="H188" s="295"/>
      <c r="I188" s="295"/>
      <c r="J188" s="295">
        <v>70</v>
      </c>
      <c r="K188" s="295">
        <f t="shared" si="56"/>
        <v>7</v>
      </c>
      <c r="L188" s="295">
        <f t="shared" si="68"/>
        <v>63</v>
      </c>
    </row>
    <row r="189" spans="1:12">
      <c r="A189" s="300" t="s">
        <v>102</v>
      </c>
      <c r="B189" s="292" t="s">
        <v>773</v>
      </c>
      <c r="C189" s="294"/>
      <c r="D189" s="382">
        <f t="shared" si="67"/>
        <v>40</v>
      </c>
      <c r="E189" s="295"/>
      <c r="F189" s="295"/>
      <c r="G189" s="295"/>
      <c r="H189" s="295"/>
      <c r="I189" s="295"/>
      <c r="J189" s="295">
        <v>40</v>
      </c>
      <c r="K189" s="295">
        <f t="shared" ref="K189" si="69">(I189+J189)*10%</f>
        <v>4</v>
      </c>
      <c r="L189" s="295">
        <f t="shared" si="68"/>
        <v>36</v>
      </c>
    </row>
    <row r="190" spans="1:12" ht="18.399999999999999" customHeight="1">
      <c r="A190" s="311" t="s">
        <v>75</v>
      </c>
      <c r="B190" s="288" t="s">
        <v>83</v>
      </c>
      <c r="C190" s="547">
        <f>C191</f>
        <v>3</v>
      </c>
      <c r="D190" s="299">
        <f>SUM(D191:D195)</f>
        <v>890.26600000000008</v>
      </c>
      <c r="E190" s="299">
        <f t="shared" ref="E190:L190" si="70">SUM(E191:E195)</f>
        <v>683.06600000000003</v>
      </c>
      <c r="F190" s="299">
        <f t="shared" si="70"/>
        <v>413.82799999999997</v>
      </c>
      <c r="G190" s="299">
        <f t="shared" si="70"/>
        <v>86.097999999999999</v>
      </c>
      <c r="H190" s="299">
        <f t="shared" si="70"/>
        <v>183.14000000000001</v>
      </c>
      <c r="I190" s="299">
        <f t="shared" si="70"/>
        <v>97.2</v>
      </c>
      <c r="J190" s="299">
        <f t="shared" si="70"/>
        <v>110</v>
      </c>
      <c r="K190" s="299">
        <f t="shared" si="70"/>
        <v>20.72</v>
      </c>
      <c r="L190" s="299">
        <f t="shared" si="70"/>
        <v>869.54600000000005</v>
      </c>
    </row>
    <row r="191" spans="1:12" ht="18.399999999999999" customHeight="1">
      <c r="A191" s="300" t="s">
        <v>102</v>
      </c>
      <c r="B191" s="292" t="s">
        <v>211</v>
      </c>
      <c r="C191" s="294">
        <v>3</v>
      </c>
      <c r="D191" s="382">
        <f>E191+I191+J191</f>
        <v>747.10400000000004</v>
      </c>
      <c r="E191" s="295">
        <f>F191+G191+H191</f>
        <v>649.904</v>
      </c>
      <c r="F191" s="295">
        <v>413.82799999999997</v>
      </c>
      <c r="G191" s="295">
        <v>86.097999999999999</v>
      </c>
      <c r="H191" s="295">
        <v>149.97800000000001</v>
      </c>
      <c r="I191" s="295">
        <f>C191*27*1.2</f>
        <v>97.2</v>
      </c>
      <c r="J191" s="295"/>
      <c r="K191" s="295">
        <f t="shared" si="56"/>
        <v>9.7200000000000006</v>
      </c>
      <c r="L191" s="295">
        <f>D191-K191</f>
        <v>737.38400000000001</v>
      </c>
    </row>
    <row r="192" spans="1:12" ht="18.399999999999999" customHeight="1">
      <c r="A192" s="309" t="s">
        <v>102</v>
      </c>
      <c r="B192" s="304" t="s">
        <v>864</v>
      </c>
      <c r="C192" s="294"/>
      <c r="D192" s="382">
        <f>E192+I192+J192</f>
        <v>33.161999999999999</v>
      </c>
      <c r="E192" s="295">
        <f>F192+G192+H192</f>
        <v>33.161999999999999</v>
      </c>
      <c r="F192" s="295"/>
      <c r="G192" s="295"/>
      <c r="H192" s="295">
        <v>33.161999999999999</v>
      </c>
      <c r="I192" s="295"/>
      <c r="J192" s="295"/>
      <c r="K192" s="295"/>
      <c r="L192" s="295">
        <f>D192-K192</f>
        <v>33.161999999999999</v>
      </c>
    </row>
    <row r="193" spans="1:12" ht="18.399999999999999" customHeight="1">
      <c r="A193" s="300" t="s">
        <v>102</v>
      </c>
      <c r="B193" s="292" t="s">
        <v>611</v>
      </c>
      <c r="C193" s="294"/>
      <c r="D193" s="382">
        <f>E193+I193+J193</f>
        <v>50</v>
      </c>
      <c r="E193" s="295"/>
      <c r="F193" s="295"/>
      <c r="G193" s="295"/>
      <c r="H193" s="295"/>
      <c r="I193" s="295"/>
      <c r="J193" s="295">
        <v>50</v>
      </c>
      <c r="K193" s="295">
        <f t="shared" si="56"/>
        <v>5</v>
      </c>
      <c r="L193" s="295">
        <f>D193-K193</f>
        <v>45</v>
      </c>
    </row>
    <row r="194" spans="1:12" ht="18.399999999999999" customHeight="1">
      <c r="A194" s="300" t="s">
        <v>102</v>
      </c>
      <c r="B194" s="292" t="s">
        <v>773</v>
      </c>
      <c r="C194" s="294"/>
      <c r="D194" s="382">
        <f>E194+I194+J194</f>
        <v>30</v>
      </c>
      <c r="E194" s="295"/>
      <c r="F194" s="295"/>
      <c r="G194" s="295"/>
      <c r="H194" s="295"/>
      <c r="I194" s="295"/>
      <c r="J194" s="295">
        <v>30</v>
      </c>
      <c r="K194" s="295">
        <f t="shared" si="56"/>
        <v>3</v>
      </c>
      <c r="L194" s="295">
        <f>D194-K194</f>
        <v>27</v>
      </c>
    </row>
    <row r="195" spans="1:12" ht="18.399999999999999" customHeight="1">
      <c r="A195" s="300" t="s">
        <v>102</v>
      </c>
      <c r="B195" s="292" t="s">
        <v>634</v>
      </c>
      <c r="C195" s="294"/>
      <c r="D195" s="382">
        <f>E195+I195+J195</f>
        <v>30</v>
      </c>
      <c r="E195" s="295"/>
      <c r="F195" s="295"/>
      <c r="G195" s="295"/>
      <c r="H195" s="295"/>
      <c r="I195" s="295"/>
      <c r="J195" s="295">
        <v>30</v>
      </c>
      <c r="K195" s="295">
        <f t="shared" si="56"/>
        <v>3</v>
      </c>
      <c r="L195" s="295">
        <f>D195-K195</f>
        <v>27</v>
      </c>
    </row>
    <row r="196" spans="1:12" ht="18.399999999999999" customHeight="1">
      <c r="A196" s="298" t="s">
        <v>90</v>
      </c>
      <c r="B196" s="288" t="s">
        <v>226</v>
      </c>
      <c r="C196" s="547">
        <f>C197+C201+C207</f>
        <v>3</v>
      </c>
      <c r="D196" s="299">
        <f>D197+D201+D207+D211</f>
        <v>726.625</v>
      </c>
      <c r="E196" s="299">
        <f t="shared" ref="E196:H196" si="71">E197+E201+E207+E211</f>
        <v>219.625</v>
      </c>
      <c r="F196" s="299">
        <f t="shared" si="71"/>
        <v>131.58699999999999</v>
      </c>
      <c r="G196" s="299">
        <f t="shared" si="71"/>
        <v>27.376999999999999</v>
      </c>
      <c r="H196" s="299">
        <f t="shared" si="71"/>
        <v>60.661000000000001</v>
      </c>
      <c r="I196" s="299">
        <f t="shared" ref="I196:L196" si="72">I197+I201+I207+I211</f>
        <v>27</v>
      </c>
      <c r="J196" s="299">
        <f t="shared" si="72"/>
        <v>480</v>
      </c>
      <c r="K196" s="299">
        <f t="shared" si="72"/>
        <v>50.7</v>
      </c>
      <c r="L196" s="299">
        <f t="shared" si="72"/>
        <v>662.95299999999997</v>
      </c>
    </row>
    <row r="197" spans="1:12" ht="18.399999999999999" customHeight="1">
      <c r="A197" s="311" t="s">
        <v>69</v>
      </c>
      <c r="B197" s="288" t="s">
        <v>208</v>
      </c>
      <c r="C197" s="547">
        <f>C198</f>
        <v>1</v>
      </c>
      <c r="D197" s="299">
        <f>SUM(D198:D200)</f>
        <v>150</v>
      </c>
      <c r="E197" s="299">
        <f t="shared" ref="E197:L197" si="73">SUM(E198:E200)</f>
        <v>0</v>
      </c>
      <c r="F197" s="299">
        <f t="shared" si="73"/>
        <v>0</v>
      </c>
      <c r="G197" s="299">
        <f t="shared" si="73"/>
        <v>0</v>
      </c>
      <c r="H197" s="299">
        <f t="shared" si="73"/>
        <v>0</v>
      </c>
      <c r="I197" s="299">
        <f t="shared" si="73"/>
        <v>0</v>
      </c>
      <c r="J197" s="299">
        <f t="shared" si="73"/>
        <v>150</v>
      </c>
      <c r="K197" s="299">
        <f>SUM(K198:K200)</f>
        <v>15</v>
      </c>
      <c r="L197" s="299">
        <f t="shared" si="73"/>
        <v>135</v>
      </c>
    </row>
    <row r="198" spans="1:12" ht="18.399999999999999" customHeight="1">
      <c r="A198" s="293" t="s">
        <v>102</v>
      </c>
      <c r="B198" s="292" t="s">
        <v>635</v>
      </c>
      <c r="C198" s="294">
        <v>1</v>
      </c>
      <c r="D198" s="382">
        <f>E198+I198+J198</f>
        <v>90</v>
      </c>
      <c r="E198" s="296"/>
      <c r="F198" s="296"/>
      <c r="G198" s="296"/>
      <c r="H198" s="296"/>
      <c r="I198" s="296"/>
      <c r="J198" s="295">
        <v>90</v>
      </c>
      <c r="K198" s="295">
        <f t="shared" ref="K198:K210" si="74">(I198+J198)*10%</f>
        <v>9</v>
      </c>
      <c r="L198" s="295">
        <f>D198-K198</f>
        <v>81</v>
      </c>
    </row>
    <row r="199" spans="1:12" s="357" customFormat="1" ht="61.5">
      <c r="A199" s="293" t="s">
        <v>102</v>
      </c>
      <c r="B199" s="292" t="s">
        <v>621</v>
      </c>
      <c r="C199" s="302"/>
      <c r="D199" s="382">
        <f>E199+I199+J199</f>
        <v>50</v>
      </c>
      <c r="E199" s="296"/>
      <c r="F199" s="296"/>
      <c r="G199" s="296"/>
      <c r="H199" s="296"/>
      <c r="I199" s="296"/>
      <c r="J199" s="295">
        <v>50</v>
      </c>
      <c r="K199" s="295">
        <f t="shared" si="74"/>
        <v>5</v>
      </c>
      <c r="L199" s="295">
        <f>D199-K199</f>
        <v>45</v>
      </c>
    </row>
    <row r="200" spans="1:12" s="357" customFormat="1" ht="30.75">
      <c r="A200" s="293" t="s">
        <v>102</v>
      </c>
      <c r="B200" s="292" t="s">
        <v>622</v>
      </c>
      <c r="C200" s="302"/>
      <c r="D200" s="382">
        <f>E200+I200+J200</f>
        <v>10</v>
      </c>
      <c r="E200" s="296"/>
      <c r="F200" s="296"/>
      <c r="G200" s="296"/>
      <c r="H200" s="296"/>
      <c r="I200" s="296"/>
      <c r="J200" s="295">
        <v>10</v>
      </c>
      <c r="K200" s="295">
        <f t="shared" si="74"/>
        <v>1</v>
      </c>
      <c r="L200" s="295">
        <f>D200-K200</f>
        <v>9</v>
      </c>
    </row>
    <row r="201" spans="1:12" s="357" customFormat="1" ht="15">
      <c r="A201" s="311" t="s">
        <v>70</v>
      </c>
      <c r="B201" s="288" t="s">
        <v>121</v>
      </c>
      <c r="C201" s="547">
        <v>1</v>
      </c>
      <c r="D201" s="299">
        <f>SUM(D202:D206)</f>
        <v>376.625</v>
      </c>
      <c r="E201" s="299">
        <f t="shared" ref="E201:L201" si="75">SUM(E202:E206)</f>
        <v>219.625</v>
      </c>
      <c r="F201" s="299">
        <f t="shared" si="75"/>
        <v>131.58699999999999</v>
      </c>
      <c r="G201" s="299">
        <f t="shared" si="75"/>
        <v>27.376999999999999</v>
      </c>
      <c r="H201" s="299">
        <f t="shared" si="75"/>
        <v>60.661000000000001</v>
      </c>
      <c r="I201" s="299">
        <f t="shared" si="75"/>
        <v>27</v>
      </c>
      <c r="J201" s="299">
        <f t="shared" si="75"/>
        <v>130</v>
      </c>
      <c r="K201" s="299">
        <f>SUM(K202:K206)</f>
        <v>15.7</v>
      </c>
      <c r="L201" s="299">
        <f t="shared" si="75"/>
        <v>347.95299999999997</v>
      </c>
    </row>
    <row r="202" spans="1:12">
      <c r="A202" s="293" t="s">
        <v>102</v>
      </c>
      <c r="B202" s="292" t="s">
        <v>636</v>
      </c>
      <c r="C202" s="294">
        <v>1</v>
      </c>
      <c r="D202" s="382">
        <f>E202+I202+J202</f>
        <v>233.65299999999999</v>
      </c>
      <c r="E202" s="295">
        <f>F202+G202+H202</f>
        <v>206.65299999999999</v>
      </c>
      <c r="F202" s="295">
        <v>131.58699999999999</v>
      </c>
      <c r="G202" s="295">
        <v>27.376999999999999</v>
      </c>
      <c r="H202" s="295">
        <v>47.689</v>
      </c>
      <c r="I202" s="295">
        <v>27</v>
      </c>
      <c r="J202" s="295"/>
      <c r="K202" s="295">
        <f t="shared" si="74"/>
        <v>2.7</v>
      </c>
      <c r="L202" s="295">
        <f>D202-K202</f>
        <v>230.953</v>
      </c>
    </row>
    <row r="203" spans="1:12">
      <c r="A203" s="309" t="s">
        <v>102</v>
      </c>
      <c r="B203" s="304" t="s">
        <v>864</v>
      </c>
      <c r="C203" s="294"/>
      <c r="D203" s="382">
        <f>E203+I203+J203</f>
        <v>12.972</v>
      </c>
      <c r="E203" s="295">
        <f>F203+G203+H203</f>
        <v>12.972</v>
      </c>
      <c r="F203" s="295"/>
      <c r="G203" s="295"/>
      <c r="H203" s="295">
        <v>12.972</v>
      </c>
      <c r="I203" s="295"/>
      <c r="J203" s="295"/>
      <c r="K203" s="295"/>
      <c r="L203" s="295"/>
    </row>
    <row r="204" spans="1:12">
      <c r="A204" s="293" t="s">
        <v>102</v>
      </c>
      <c r="B204" s="292" t="s">
        <v>637</v>
      </c>
      <c r="C204" s="294"/>
      <c r="D204" s="382">
        <f>E204+I204+J204</f>
        <v>50</v>
      </c>
      <c r="E204" s="295"/>
      <c r="F204" s="295"/>
      <c r="G204" s="295"/>
      <c r="H204" s="295"/>
      <c r="I204" s="295"/>
      <c r="J204" s="295">
        <v>50</v>
      </c>
      <c r="K204" s="295">
        <f t="shared" si="74"/>
        <v>5</v>
      </c>
      <c r="L204" s="295">
        <f>D204-K204</f>
        <v>45</v>
      </c>
    </row>
    <row r="205" spans="1:12" ht="61.5">
      <c r="A205" s="293" t="s">
        <v>102</v>
      </c>
      <c r="B205" s="292" t="s">
        <v>623</v>
      </c>
      <c r="C205" s="294"/>
      <c r="D205" s="382">
        <f>E205+I205+J205</f>
        <v>50</v>
      </c>
      <c r="E205" s="295"/>
      <c r="F205" s="295"/>
      <c r="G205" s="295"/>
      <c r="H205" s="295"/>
      <c r="I205" s="295"/>
      <c r="J205" s="295">
        <v>50</v>
      </c>
      <c r="K205" s="295">
        <f t="shared" si="74"/>
        <v>5</v>
      </c>
      <c r="L205" s="295">
        <f>D205-K205</f>
        <v>45</v>
      </c>
    </row>
    <row r="206" spans="1:12" ht="30.75">
      <c r="A206" s="293" t="s">
        <v>102</v>
      </c>
      <c r="B206" s="292" t="s">
        <v>624</v>
      </c>
      <c r="C206" s="294"/>
      <c r="D206" s="382">
        <f>E206+I206+J206</f>
        <v>30</v>
      </c>
      <c r="E206" s="295"/>
      <c r="F206" s="295"/>
      <c r="G206" s="295"/>
      <c r="H206" s="295"/>
      <c r="I206" s="295"/>
      <c r="J206" s="295">
        <v>30</v>
      </c>
      <c r="K206" s="295">
        <f t="shared" si="74"/>
        <v>3</v>
      </c>
      <c r="L206" s="295">
        <f>D206-K206</f>
        <v>27</v>
      </c>
    </row>
    <row r="207" spans="1:12">
      <c r="A207" s="311" t="s">
        <v>72</v>
      </c>
      <c r="B207" s="288" t="s">
        <v>119</v>
      </c>
      <c r="C207" s="547">
        <f>C208</f>
        <v>1</v>
      </c>
      <c r="D207" s="299">
        <f>SUM(D208:D210)</f>
        <v>150</v>
      </c>
      <c r="E207" s="299">
        <f t="shared" ref="E207:L207" si="76">SUM(E208:E210)</f>
        <v>0</v>
      </c>
      <c r="F207" s="299">
        <f t="shared" si="76"/>
        <v>0</v>
      </c>
      <c r="G207" s="299">
        <f t="shared" si="76"/>
        <v>0</v>
      </c>
      <c r="H207" s="299">
        <f t="shared" si="76"/>
        <v>0</v>
      </c>
      <c r="I207" s="299">
        <f t="shared" si="76"/>
        <v>0</v>
      </c>
      <c r="J207" s="299">
        <f t="shared" si="76"/>
        <v>150</v>
      </c>
      <c r="K207" s="299">
        <f>SUM(K208:K210)</f>
        <v>15</v>
      </c>
      <c r="L207" s="299">
        <f t="shared" si="76"/>
        <v>135</v>
      </c>
    </row>
    <row r="208" spans="1:12">
      <c r="A208" s="300" t="s">
        <v>102</v>
      </c>
      <c r="B208" s="292" t="s">
        <v>635</v>
      </c>
      <c r="C208" s="294">
        <v>1</v>
      </c>
      <c r="D208" s="382">
        <f>E208+I208+J208</f>
        <v>90</v>
      </c>
      <c r="E208" s="295"/>
      <c r="F208" s="295"/>
      <c r="G208" s="295"/>
      <c r="H208" s="295"/>
      <c r="I208" s="295"/>
      <c r="J208" s="295">
        <v>90</v>
      </c>
      <c r="K208" s="295">
        <f t="shared" si="74"/>
        <v>9</v>
      </c>
      <c r="L208" s="295">
        <f>D208-K208</f>
        <v>81</v>
      </c>
    </row>
    <row r="209" spans="1:12" ht="30.75">
      <c r="A209" s="300" t="s">
        <v>102</v>
      </c>
      <c r="B209" s="292" t="s">
        <v>625</v>
      </c>
      <c r="C209" s="302"/>
      <c r="D209" s="382">
        <f>E209+I209+J209</f>
        <v>50</v>
      </c>
      <c r="E209" s="296"/>
      <c r="F209" s="296"/>
      <c r="G209" s="296"/>
      <c r="H209" s="296"/>
      <c r="I209" s="296"/>
      <c r="J209" s="295">
        <v>50</v>
      </c>
      <c r="K209" s="295">
        <f t="shared" si="74"/>
        <v>5</v>
      </c>
      <c r="L209" s="295">
        <f>D209-K209</f>
        <v>45</v>
      </c>
    </row>
    <row r="210" spans="1:12" ht="30.75">
      <c r="A210" s="300" t="s">
        <v>102</v>
      </c>
      <c r="B210" s="292" t="s">
        <v>624</v>
      </c>
      <c r="C210" s="302"/>
      <c r="D210" s="382">
        <f>E210+I210+J210</f>
        <v>10</v>
      </c>
      <c r="E210" s="296"/>
      <c r="F210" s="296"/>
      <c r="G210" s="296"/>
      <c r="H210" s="296"/>
      <c r="I210" s="296"/>
      <c r="J210" s="295">
        <v>10</v>
      </c>
      <c r="K210" s="295">
        <f t="shared" si="74"/>
        <v>1</v>
      </c>
      <c r="L210" s="295">
        <f>D210-K210</f>
        <v>9</v>
      </c>
    </row>
    <row r="211" spans="1:12" s="357" customFormat="1" ht="15">
      <c r="A211" s="311">
        <v>4</v>
      </c>
      <c r="B211" s="288" t="s">
        <v>333</v>
      </c>
      <c r="C211" s="334"/>
      <c r="D211" s="299">
        <f t="shared" ref="D211:L211" si="77">SUM(D212:D212)</f>
        <v>50</v>
      </c>
      <c r="E211" s="299">
        <f t="shared" si="77"/>
        <v>0</v>
      </c>
      <c r="F211" s="299">
        <f t="shared" si="77"/>
        <v>0</v>
      </c>
      <c r="G211" s="299">
        <f t="shared" si="77"/>
        <v>0</v>
      </c>
      <c r="H211" s="299">
        <f t="shared" si="77"/>
        <v>0</v>
      </c>
      <c r="I211" s="299">
        <f t="shared" si="77"/>
        <v>0</v>
      </c>
      <c r="J211" s="299">
        <f t="shared" si="77"/>
        <v>50</v>
      </c>
      <c r="K211" s="299">
        <f t="shared" si="77"/>
        <v>5</v>
      </c>
      <c r="L211" s="299">
        <f t="shared" si="77"/>
        <v>45</v>
      </c>
    </row>
    <row r="212" spans="1:12" ht="46.15">
      <c r="A212" s="300" t="s">
        <v>102</v>
      </c>
      <c r="B212" s="292" t="s">
        <v>626</v>
      </c>
      <c r="C212" s="302"/>
      <c r="D212" s="382">
        <f>E212+I212+J212</f>
        <v>50</v>
      </c>
      <c r="E212" s="296"/>
      <c r="F212" s="296"/>
      <c r="G212" s="296"/>
      <c r="H212" s="296"/>
      <c r="I212" s="296"/>
      <c r="J212" s="295">
        <v>50</v>
      </c>
      <c r="K212" s="295">
        <f>J212*10%</f>
        <v>5</v>
      </c>
      <c r="L212" s="295">
        <f>D212-K212</f>
        <v>45</v>
      </c>
    </row>
    <row r="213" spans="1:12" s="357" customFormat="1" ht="15">
      <c r="A213" s="311" t="s">
        <v>209</v>
      </c>
      <c r="B213" s="288" t="s">
        <v>326</v>
      </c>
      <c r="C213" s="334"/>
      <c r="D213" s="445">
        <f>E213+I213+J213</f>
        <v>350</v>
      </c>
      <c r="E213" s="327"/>
      <c r="F213" s="327"/>
      <c r="G213" s="327"/>
      <c r="H213" s="327"/>
      <c r="I213" s="327"/>
      <c r="J213" s="299">
        <v>350</v>
      </c>
      <c r="K213" s="299">
        <f>J213*10%</f>
        <v>35</v>
      </c>
      <c r="L213" s="299">
        <f>D213-K213</f>
        <v>315</v>
      </c>
    </row>
    <row r="214" spans="1:12" s="357" customFormat="1" ht="45">
      <c r="A214" s="311" t="s">
        <v>182</v>
      </c>
      <c r="B214" s="288" t="s">
        <v>742</v>
      </c>
      <c r="C214" s="547"/>
      <c r="D214" s="445">
        <f>E214+I214+J214</f>
        <v>0</v>
      </c>
      <c r="E214" s="299"/>
      <c r="F214" s="299"/>
      <c r="G214" s="299"/>
      <c r="H214" s="299"/>
      <c r="I214" s="299"/>
      <c r="J214" s="299"/>
      <c r="K214" s="299"/>
      <c r="L214" s="299">
        <f>D214-K214</f>
        <v>0</v>
      </c>
    </row>
    <row r="215" spans="1:12" s="357" customFormat="1">
      <c r="A215" s="311" t="s">
        <v>847</v>
      </c>
      <c r="B215" s="288" t="s">
        <v>845</v>
      </c>
      <c r="C215" s="547"/>
      <c r="D215" s="445">
        <f>E215+I215+J215</f>
        <v>5992.0829999999996</v>
      </c>
      <c r="E215" s="295">
        <f>F215+G215+H215</f>
        <v>5992.0829999999996</v>
      </c>
      <c r="F215" s="299"/>
      <c r="G215" s="295">
        <f>4310.215-(3*0.3*0.31*12)</f>
        <v>4306.8670000000002</v>
      </c>
      <c r="H215" s="295">
        <f>4704.437-3013.389-(3*0.3*0.54*12)</f>
        <v>1685.2159999999997</v>
      </c>
      <c r="I215" s="299"/>
      <c r="J215" s="299"/>
      <c r="K215" s="299"/>
      <c r="L215" s="299">
        <f>D215-K215</f>
        <v>5992.0829999999996</v>
      </c>
    </row>
    <row r="216" spans="1:12">
      <c r="A216" s="298" t="s">
        <v>89</v>
      </c>
      <c r="B216" s="312" t="s">
        <v>216</v>
      </c>
      <c r="C216" s="322">
        <f t="shared" ref="C216:L216" si="78">C217+C313</f>
        <v>818</v>
      </c>
      <c r="D216" s="299">
        <f t="shared" si="78"/>
        <v>250855</v>
      </c>
      <c r="E216" s="299">
        <f t="shared" si="78"/>
        <v>183694.00000000003</v>
      </c>
      <c r="F216" s="299">
        <f t="shared" si="78"/>
        <v>120348.117</v>
      </c>
      <c r="G216" s="299">
        <f t="shared" si="78"/>
        <v>16323.000000000002</v>
      </c>
      <c r="H216" s="299">
        <f t="shared" si="78"/>
        <v>44687</v>
      </c>
      <c r="I216" s="299">
        <f t="shared" si="78"/>
        <v>20695</v>
      </c>
      <c r="J216" s="299">
        <f t="shared" si="78"/>
        <v>46466</v>
      </c>
      <c r="K216" s="299">
        <f t="shared" si="78"/>
        <v>2308</v>
      </c>
      <c r="L216" s="299">
        <f t="shared" si="78"/>
        <v>248547</v>
      </c>
    </row>
    <row r="217" spans="1:12">
      <c r="A217" s="298" t="s">
        <v>86</v>
      </c>
      <c r="B217" s="312" t="s">
        <v>38</v>
      </c>
      <c r="C217" s="322">
        <f>C218+C231+C302</f>
        <v>815</v>
      </c>
      <c r="D217" s="299">
        <f t="shared" ref="D217:L217" si="79">D218+D219+D220+D231+D302</f>
        <v>248027.02900000001</v>
      </c>
      <c r="E217" s="299">
        <f t="shared" si="79"/>
        <v>181821.02900000004</v>
      </c>
      <c r="F217" s="299">
        <f t="shared" si="79"/>
        <v>120024.14599999999</v>
      </c>
      <c r="G217" s="299">
        <f t="shared" si="79"/>
        <v>16161.000000000002</v>
      </c>
      <c r="H217" s="299">
        <f t="shared" si="79"/>
        <v>43300</v>
      </c>
      <c r="I217" s="299">
        <f t="shared" si="79"/>
        <v>20620</v>
      </c>
      <c r="J217" s="299">
        <f t="shared" si="79"/>
        <v>45586</v>
      </c>
      <c r="K217" s="299">
        <f t="shared" si="79"/>
        <v>2252.5</v>
      </c>
      <c r="L217" s="299">
        <f t="shared" si="79"/>
        <v>245774.52900000001</v>
      </c>
    </row>
    <row r="218" spans="1:12" ht="45">
      <c r="A218" s="298" t="s">
        <v>214</v>
      </c>
      <c r="B218" s="313" t="s">
        <v>336</v>
      </c>
      <c r="C218" s="545">
        <v>0</v>
      </c>
      <c r="D218" s="445">
        <f>E218+I218+J218</f>
        <v>2247</v>
      </c>
      <c r="E218" s="299">
        <v>0</v>
      </c>
      <c r="F218" s="299">
        <v>0</v>
      </c>
      <c r="G218" s="299">
        <v>0</v>
      </c>
      <c r="H218" s="299">
        <v>0</v>
      </c>
      <c r="I218" s="299">
        <v>0</v>
      </c>
      <c r="J218" s="299">
        <v>2247</v>
      </c>
      <c r="K218" s="299">
        <v>0</v>
      </c>
      <c r="L218" s="299">
        <f>D218-K218</f>
        <v>2247</v>
      </c>
    </row>
    <row r="219" spans="1:12" ht="30">
      <c r="A219" s="298" t="s">
        <v>215</v>
      </c>
      <c r="B219" s="313" t="s">
        <v>337</v>
      </c>
      <c r="C219" s="545">
        <v>0</v>
      </c>
      <c r="D219" s="445">
        <f>E219+I219+J219</f>
        <v>1449</v>
      </c>
      <c r="E219" s="299">
        <v>0</v>
      </c>
      <c r="F219" s="299">
        <v>0</v>
      </c>
      <c r="G219" s="299">
        <v>0</v>
      </c>
      <c r="H219" s="299">
        <v>0</v>
      </c>
      <c r="I219" s="299"/>
      <c r="J219" s="299">
        <v>1449</v>
      </c>
      <c r="K219" s="299">
        <v>0</v>
      </c>
      <c r="L219" s="299">
        <f>D219-K219</f>
        <v>1449</v>
      </c>
    </row>
    <row r="220" spans="1:12">
      <c r="A220" s="298" t="s">
        <v>217</v>
      </c>
      <c r="B220" s="313" t="s">
        <v>115</v>
      </c>
      <c r="C220" s="545"/>
      <c r="D220" s="299">
        <f>SUM(D221:D230)</f>
        <v>1065</v>
      </c>
      <c r="E220" s="299">
        <f t="shared" ref="E220:L220" si="80">SUM(E221:E230)</f>
        <v>0</v>
      </c>
      <c r="F220" s="299">
        <f t="shared" si="80"/>
        <v>0</v>
      </c>
      <c r="G220" s="299">
        <f t="shared" si="80"/>
        <v>0</v>
      </c>
      <c r="H220" s="299">
        <f t="shared" si="80"/>
        <v>0</v>
      </c>
      <c r="I220" s="299">
        <f t="shared" si="80"/>
        <v>0</v>
      </c>
      <c r="J220" s="299">
        <f t="shared" si="80"/>
        <v>1065</v>
      </c>
      <c r="K220" s="299">
        <f t="shared" si="80"/>
        <v>106.5</v>
      </c>
      <c r="L220" s="299">
        <f t="shared" si="80"/>
        <v>958.5</v>
      </c>
    </row>
    <row r="221" spans="1:12">
      <c r="A221" s="314">
        <v>1</v>
      </c>
      <c r="B221" s="315" t="s">
        <v>659</v>
      </c>
      <c r="C221" s="193"/>
      <c r="D221" s="382">
        <f t="shared" ref="D221:D230" si="81">E221+I221+J221</f>
        <v>180</v>
      </c>
      <c r="E221" s="295"/>
      <c r="F221" s="295"/>
      <c r="G221" s="295"/>
      <c r="H221" s="295"/>
      <c r="I221" s="295"/>
      <c r="J221" s="295">
        <v>180</v>
      </c>
      <c r="K221" s="295">
        <f t="shared" ref="K221:K230" si="82">(I221+J221)*10%</f>
        <v>18</v>
      </c>
      <c r="L221" s="295">
        <f t="shared" ref="L221:L230" si="83">D221-K221</f>
        <v>162</v>
      </c>
    </row>
    <row r="222" spans="1:12">
      <c r="A222" s="314">
        <v>2</v>
      </c>
      <c r="B222" s="315" t="s">
        <v>660</v>
      </c>
      <c r="C222" s="193"/>
      <c r="D222" s="382">
        <f t="shared" si="81"/>
        <v>180</v>
      </c>
      <c r="E222" s="295"/>
      <c r="F222" s="295"/>
      <c r="G222" s="295"/>
      <c r="H222" s="295"/>
      <c r="I222" s="295"/>
      <c r="J222" s="295">
        <v>180</v>
      </c>
      <c r="K222" s="295">
        <f t="shared" si="82"/>
        <v>18</v>
      </c>
      <c r="L222" s="295">
        <f t="shared" si="83"/>
        <v>162</v>
      </c>
    </row>
    <row r="223" spans="1:12">
      <c r="A223" s="314">
        <v>3</v>
      </c>
      <c r="B223" s="315" t="s">
        <v>661</v>
      </c>
      <c r="C223" s="193"/>
      <c r="D223" s="382">
        <f t="shared" si="81"/>
        <v>180</v>
      </c>
      <c r="E223" s="295"/>
      <c r="F223" s="295"/>
      <c r="G223" s="295"/>
      <c r="H223" s="295"/>
      <c r="I223" s="295"/>
      <c r="J223" s="295">
        <v>180</v>
      </c>
      <c r="K223" s="295">
        <f t="shared" si="82"/>
        <v>18</v>
      </c>
      <c r="L223" s="295">
        <f t="shared" si="83"/>
        <v>162</v>
      </c>
    </row>
    <row r="224" spans="1:12" ht="30.75">
      <c r="A224" s="314">
        <v>4</v>
      </c>
      <c r="B224" s="315" t="s">
        <v>657</v>
      </c>
      <c r="C224" s="193"/>
      <c r="D224" s="382">
        <f t="shared" si="81"/>
        <v>100</v>
      </c>
      <c r="E224" s="295"/>
      <c r="F224" s="295"/>
      <c r="G224" s="295"/>
      <c r="H224" s="295"/>
      <c r="I224" s="295"/>
      <c r="J224" s="295">
        <v>100</v>
      </c>
      <c r="K224" s="295">
        <f t="shared" si="82"/>
        <v>10</v>
      </c>
      <c r="L224" s="295">
        <f t="shared" si="83"/>
        <v>90</v>
      </c>
    </row>
    <row r="225" spans="1:12">
      <c r="A225" s="314">
        <v>5</v>
      </c>
      <c r="B225" s="315" t="s">
        <v>658</v>
      </c>
      <c r="C225" s="193"/>
      <c r="D225" s="382">
        <f t="shared" si="81"/>
        <v>150</v>
      </c>
      <c r="E225" s="295"/>
      <c r="F225" s="295"/>
      <c r="G225" s="295"/>
      <c r="H225" s="295"/>
      <c r="I225" s="295"/>
      <c r="J225" s="295">
        <v>150</v>
      </c>
      <c r="K225" s="295">
        <f t="shared" si="82"/>
        <v>15</v>
      </c>
      <c r="L225" s="295">
        <f t="shared" si="83"/>
        <v>135</v>
      </c>
    </row>
    <row r="226" spans="1:12" ht="48" customHeight="1">
      <c r="A226" s="314">
        <v>6</v>
      </c>
      <c r="B226" s="315" t="s">
        <v>740</v>
      </c>
      <c r="C226" s="193"/>
      <c r="D226" s="382">
        <f t="shared" si="81"/>
        <v>100</v>
      </c>
      <c r="E226" s="295"/>
      <c r="F226" s="295"/>
      <c r="G226" s="295"/>
      <c r="H226" s="295"/>
      <c r="I226" s="295"/>
      <c r="J226" s="295">
        <v>100</v>
      </c>
      <c r="K226" s="295">
        <f t="shared" si="82"/>
        <v>10</v>
      </c>
      <c r="L226" s="295">
        <f t="shared" si="83"/>
        <v>90</v>
      </c>
    </row>
    <row r="227" spans="1:12">
      <c r="A227" s="314">
        <v>7</v>
      </c>
      <c r="B227" s="315" t="s">
        <v>717</v>
      </c>
      <c r="C227" s="193"/>
      <c r="D227" s="382">
        <f t="shared" si="81"/>
        <v>50</v>
      </c>
      <c r="E227" s="295"/>
      <c r="F227" s="295"/>
      <c r="G227" s="295"/>
      <c r="H227" s="295"/>
      <c r="I227" s="295"/>
      <c r="J227" s="295">
        <v>50</v>
      </c>
      <c r="K227" s="295">
        <f t="shared" si="82"/>
        <v>5</v>
      </c>
      <c r="L227" s="295">
        <f t="shared" si="83"/>
        <v>45</v>
      </c>
    </row>
    <row r="228" spans="1:12">
      <c r="A228" s="314">
        <v>8</v>
      </c>
      <c r="B228" s="383" t="s">
        <v>718</v>
      </c>
      <c r="C228" s="193"/>
      <c r="D228" s="382">
        <f t="shared" si="81"/>
        <v>40</v>
      </c>
      <c r="E228" s="295"/>
      <c r="F228" s="295"/>
      <c r="G228" s="295"/>
      <c r="H228" s="295"/>
      <c r="I228" s="295"/>
      <c r="J228" s="295">
        <v>40</v>
      </c>
      <c r="K228" s="295">
        <f t="shared" si="82"/>
        <v>4</v>
      </c>
      <c r="L228" s="295">
        <f t="shared" si="83"/>
        <v>36</v>
      </c>
    </row>
    <row r="229" spans="1:12">
      <c r="A229" s="314">
        <v>9</v>
      </c>
      <c r="B229" s="315" t="s">
        <v>578</v>
      </c>
      <c r="C229" s="193"/>
      <c r="D229" s="382">
        <f t="shared" si="81"/>
        <v>45</v>
      </c>
      <c r="E229" s="295"/>
      <c r="F229" s="295"/>
      <c r="G229" s="295"/>
      <c r="H229" s="295"/>
      <c r="I229" s="295"/>
      <c r="J229" s="295">
        <v>45</v>
      </c>
      <c r="K229" s="295">
        <f t="shared" si="82"/>
        <v>4.5</v>
      </c>
      <c r="L229" s="295">
        <f t="shared" si="83"/>
        <v>40.5</v>
      </c>
    </row>
    <row r="230" spans="1:12">
      <c r="A230" s="314">
        <v>10</v>
      </c>
      <c r="B230" s="315" t="s">
        <v>638</v>
      </c>
      <c r="C230" s="193"/>
      <c r="D230" s="382">
        <f t="shared" si="81"/>
        <v>40</v>
      </c>
      <c r="E230" s="295"/>
      <c r="F230" s="295"/>
      <c r="G230" s="295"/>
      <c r="H230" s="295"/>
      <c r="I230" s="295"/>
      <c r="J230" s="295">
        <v>40</v>
      </c>
      <c r="K230" s="295">
        <f t="shared" si="82"/>
        <v>4</v>
      </c>
      <c r="L230" s="295">
        <f t="shared" si="83"/>
        <v>36</v>
      </c>
    </row>
    <row r="231" spans="1:12">
      <c r="A231" s="298" t="s">
        <v>86</v>
      </c>
      <c r="B231" s="338" t="s">
        <v>265</v>
      </c>
      <c r="C231" s="322">
        <f>C232+C235+C238+C241+C244+C247+C250+C253+C256+C259+C262+C265+C268+C271+C274+C277+C280+C283+C286+C289+C292+C295+C298</f>
        <v>788</v>
      </c>
      <c r="D231" s="545">
        <f>D232+D235+D238+D241+D244+D247+D250+D253+D256+D259+D262+D265+D268+D271+D274+D277+D280+D283+D286+D289+D292+D295+D298+D301</f>
        <v>196993.17600000001</v>
      </c>
      <c r="E231" s="545">
        <f t="shared" ref="E231:L231" si="84">E232+E235+E238+E241+E244+E247+E250+E253+E256+E259+E262+E265+E268+E271+E274+E277+E280+E283+E286+E289+E292+E295+E298+E301</f>
        <v>176718.17600000004</v>
      </c>
      <c r="F231" s="545">
        <f t="shared" si="84"/>
        <v>116774.893</v>
      </c>
      <c r="G231" s="545">
        <f t="shared" si="84"/>
        <v>15484.981000000002</v>
      </c>
      <c r="H231" s="545">
        <f t="shared" si="84"/>
        <v>42122.419000000002</v>
      </c>
      <c r="I231" s="545">
        <f t="shared" si="84"/>
        <v>19945</v>
      </c>
      <c r="J231" s="545">
        <f t="shared" si="84"/>
        <v>330</v>
      </c>
      <c r="K231" s="545">
        <f t="shared" si="84"/>
        <v>2027.5</v>
      </c>
      <c r="L231" s="545">
        <f t="shared" si="84"/>
        <v>194965.67600000001</v>
      </c>
    </row>
    <row r="232" spans="1:12" s="357" customFormat="1" ht="15">
      <c r="A232" s="298">
        <v>1</v>
      </c>
      <c r="B232" s="338" t="s">
        <v>196</v>
      </c>
      <c r="C232" s="339">
        <v>16</v>
      </c>
      <c r="D232" s="445">
        <f t="shared" ref="D232:D263" si="85">E232+I232+J232</f>
        <v>3633.8109999999997</v>
      </c>
      <c r="E232" s="340">
        <f t="shared" ref="E232:L232" si="86">SUM(E233:E234)</f>
        <v>3171.8109999999997</v>
      </c>
      <c r="F232" s="340">
        <f>SUM(F233:F234)</f>
        <v>2168.06</v>
      </c>
      <c r="G232" s="340">
        <f t="shared" ref="G232:H232" si="87">SUM(G233:G234)</f>
        <v>218.01099999999997</v>
      </c>
      <c r="H232" s="340">
        <f t="shared" si="87"/>
        <v>785.74</v>
      </c>
      <c r="I232" s="340">
        <f t="shared" si="86"/>
        <v>452</v>
      </c>
      <c r="J232" s="340">
        <f t="shared" si="86"/>
        <v>10</v>
      </c>
      <c r="K232" s="340">
        <f t="shared" si="86"/>
        <v>46.2</v>
      </c>
      <c r="L232" s="340">
        <f t="shared" si="86"/>
        <v>3587.6109999999999</v>
      </c>
    </row>
    <row r="233" spans="1:12">
      <c r="A233" s="300" t="s">
        <v>102</v>
      </c>
      <c r="B233" s="370" t="s">
        <v>0</v>
      </c>
      <c r="C233" s="341"/>
      <c r="D233" s="382">
        <f t="shared" si="85"/>
        <v>3623.8109999999997</v>
      </c>
      <c r="E233" s="295">
        <f>F233+G233+H233</f>
        <v>3171.8109999999997</v>
      </c>
      <c r="F233" s="328">
        <v>2168.06</v>
      </c>
      <c r="G233" s="328">
        <f>451.073-383.062+150</f>
        <v>218.01099999999997</v>
      </c>
      <c r="H233" s="328">
        <f>785.74</f>
        <v>785.74</v>
      </c>
      <c r="I233" s="328">
        <f>C232*26+36</f>
        <v>452</v>
      </c>
      <c r="J233" s="328"/>
      <c r="K233" s="295">
        <f>(I233+J233)*10%</f>
        <v>45.2</v>
      </c>
      <c r="L233" s="328">
        <f>D233-K233</f>
        <v>3578.6109999999999</v>
      </c>
    </row>
    <row r="234" spans="1:12">
      <c r="A234" s="300" t="s">
        <v>102</v>
      </c>
      <c r="B234" s="292" t="s">
        <v>639</v>
      </c>
      <c r="C234" s="341"/>
      <c r="D234" s="382">
        <f t="shared" si="85"/>
        <v>10</v>
      </c>
      <c r="E234" s="328"/>
      <c r="F234" s="328"/>
      <c r="G234" s="328"/>
      <c r="H234" s="328"/>
      <c r="I234" s="328"/>
      <c r="J234" s="328">
        <v>10</v>
      </c>
      <c r="K234" s="295">
        <f>(I234+J234)*10%</f>
        <v>1</v>
      </c>
      <c r="L234" s="328">
        <f>D234-K234</f>
        <v>9</v>
      </c>
    </row>
    <row r="235" spans="1:12">
      <c r="A235" s="298">
        <v>2</v>
      </c>
      <c r="B235" s="338" t="s">
        <v>197</v>
      </c>
      <c r="C235" s="339">
        <v>13</v>
      </c>
      <c r="D235" s="445">
        <f t="shared" si="85"/>
        <v>2872.36</v>
      </c>
      <c r="E235" s="340">
        <f t="shared" ref="E235:L235" si="88">SUM(E236:E237)</f>
        <v>2488.36</v>
      </c>
      <c r="F235" s="340">
        <f t="shared" si="88"/>
        <v>1732.8720000000001</v>
      </c>
      <c r="G235" s="340">
        <f t="shared" si="88"/>
        <v>127.46799999999996</v>
      </c>
      <c r="H235" s="340">
        <f t="shared" si="88"/>
        <v>628.02</v>
      </c>
      <c r="I235" s="340">
        <f t="shared" si="88"/>
        <v>374</v>
      </c>
      <c r="J235" s="340">
        <f t="shared" si="88"/>
        <v>10</v>
      </c>
      <c r="K235" s="340">
        <f t="shared" si="88"/>
        <v>38.4</v>
      </c>
      <c r="L235" s="340">
        <f t="shared" si="88"/>
        <v>2833.96</v>
      </c>
    </row>
    <row r="236" spans="1:12" s="357" customFormat="1" ht="18" customHeight="1">
      <c r="A236" s="300" t="s">
        <v>102</v>
      </c>
      <c r="B236" s="370" t="s">
        <v>0</v>
      </c>
      <c r="C236" s="341"/>
      <c r="D236" s="382">
        <f t="shared" si="85"/>
        <v>2862.36</v>
      </c>
      <c r="E236" s="295">
        <f>F236+G236+H236</f>
        <v>2488.36</v>
      </c>
      <c r="F236" s="328">
        <v>1732.8720000000001</v>
      </c>
      <c r="G236" s="328">
        <f>360.53-383.062+150</f>
        <v>127.46799999999996</v>
      </c>
      <c r="H236" s="328">
        <f>628.02</f>
        <v>628.02</v>
      </c>
      <c r="I236" s="328">
        <f>C235*26+36</f>
        <v>374</v>
      </c>
      <c r="J236" s="328"/>
      <c r="K236" s="295">
        <f>(I236+J236)*10%</f>
        <v>37.4</v>
      </c>
      <c r="L236" s="328">
        <f>D236-K236</f>
        <v>2824.96</v>
      </c>
    </row>
    <row r="237" spans="1:12">
      <c r="A237" s="300" t="s">
        <v>102</v>
      </c>
      <c r="B237" s="292" t="s">
        <v>639</v>
      </c>
      <c r="C237" s="341"/>
      <c r="D237" s="382">
        <f t="shared" si="85"/>
        <v>10</v>
      </c>
      <c r="E237" s="328"/>
      <c r="F237" s="328"/>
      <c r="G237" s="328"/>
      <c r="H237" s="328"/>
      <c r="I237" s="328"/>
      <c r="J237" s="328">
        <v>10</v>
      </c>
      <c r="K237" s="295">
        <f>(I237+J237)*10%</f>
        <v>1</v>
      </c>
      <c r="L237" s="328">
        <f>D237-K237</f>
        <v>9</v>
      </c>
    </row>
    <row r="238" spans="1:12">
      <c r="A238" s="298">
        <v>3</v>
      </c>
      <c r="B238" s="338" t="s">
        <v>198</v>
      </c>
      <c r="C238" s="339">
        <v>14</v>
      </c>
      <c r="D238" s="445">
        <f t="shared" si="85"/>
        <v>3386.4470000000001</v>
      </c>
      <c r="E238" s="340">
        <f t="shared" ref="E238:L238" si="89">SUM(E239:E240)</f>
        <v>2976.4470000000001</v>
      </c>
      <c r="F238" s="340">
        <f t="shared" si="89"/>
        <v>2043.662</v>
      </c>
      <c r="G238" s="340">
        <f t="shared" si="89"/>
        <v>192.12899999999996</v>
      </c>
      <c r="H238" s="340">
        <f t="shared" si="89"/>
        <v>740.65599999999995</v>
      </c>
      <c r="I238" s="340">
        <f t="shared" si="89"/>
        <v>400</v>
      </c>
      <c r="J238" s="340">
        <f t="shared" si="89"/>
        <v>10</v>
      </c>
      <c r="K238" s="340">
        <f t="shared" si="89"/>
        <v>41</v>
      </c>
      <c r="L238" s="340">
        <f t="shared" si="89"/>
        <v>3345.4470000000001</v>
      </c>
    </row>
    <row r="239" spans="1:12">
      <c r="A239" s="300" t="s">
        <v>102</v>
      </c>
      <c r="B239" s="370" t="s">
        <v>0</v>
      </c>
      <c r="C239" s="341"/>
      <c r="D239" s="382">
        <f t="shared" si="85"/>
        <v>3376.4470000000001</v>
      </c>
      <c r="E239" s="295">
        <f>F239+G239+H239</f>
        <v>2976.4470000000001</v>
      </c>
      <c r="F239" s="328">
        <v>2043.662</v>
      </c>
      <c r="G239" s="328">
        <f>425.191-383.062+150</f>
        <v>192.12899999999996</v>
      </c>
      <c r="H239" s="328">
        <f>740.656</f>
        <v>740.65599999999995</v>
      </c>
      <c r="I239" s="328">
        <f>C238*26+36</f>
        <v>400</v>
      </c>
      <c r="J239" s="328"/>
      <c r="K239" s="295">
        <f>(I239+J239)*10%</f>
        <v>40</v>
      </c>
      <c r="L239" s="328">
        <f>D239-K239</f>
        <v>3336.4470000000001</v>
      </c>
    </row>
    <row r="240" spans="1:12" s="357" customFormat="1">
      <c r="A240" s="300" t="s">
        <v>102</v>
      </c>
      <c r="B240" s="292" t="s">
        <v>639</v>
      </c>
      <c r="C240" s="341"/>
      <c r="D240" s="382">
        <f t="shared" si="85"/>
        <v>10</v>
      </c>
      <c r="E240" s="328"/>
      <c r="F240" s="328"/>
      <c r="G240" s="328"/>
      <c r="H240" s="328"/>
      <c r="I240" s="328"/>
      <c r="J240" s="328">
        <v>10</v>
      </c>
      <c r="K240" s="295">
        <f>(I240+J240)*10%</f>
        <v>1</v>
      </c>
      <c r="L240" s="328">
        <f>D240-K240</f>
        <v>9</v>
      </c>
    </row>
    <row r="241" spans="1:12">
      <c r="A241" s="298">
        <v>4</v>
      </c>
      <c r="B241" s="338" t="s">
        <v>273</v>
      </c>
      <c r="C241" s="339">
        <v>16</v>
      </c>
      <c r="D241" s="445">
        <f t="shared" si="85"/>
        <v>3335.1149999999998</v>
      </c>
      <c r="E241" s="340">
        <f t="shared" ref="E241:L241" si="90">SUM(E242:E243)</f>
        <v>2873.1149999999998</v>
      </c>
      <c r="F241" s="340">
        <f t="shared" si="90"/>
        <v>1977.865</v>
      </c>
      <c r="G241" s="340">
        <f t="shared" si="90"/>
        <v>178.44</v>
      </c>
      <c r="H241" s="340">
        <f t="shared" si="90"/>
        <v>716.81</v>
      </c>
      <c r="I241" s="340">
        <f t="shared" si="90"/>
        <v>452</v>
      </c>
      <c r="J241" s="340">
        <f t="shared" si="90"/>
        <v>10</v>
      </c>
      <c r="K241" s="340">
        <f t="shared" si="90"/>
        <v>46.2</v>
      </c>
      <c r="L241" s="340">
        <f t="shared" si="90"/>
        <v>3288.915</v>
      </c>
    </row>
    <row r="242" spans="1:12">
      <c r="A242" s="300" t="s">
        <v>102</v>
      </c>
      <c r="B242" s="370" t="s">
        <v>0</v>
      </c>
      <c r="C242" s="341"/>
      <c r="D242" s="382">
        <f t="shared" si="85"/>
        <v>3325.1149999999998</v>
      </c>
      <c r="E242" s="295">
        <f>F242+G242+H242</f>
        <v>2873.1149999999998</v>
      </c>
      <c r="F242" s="328">
        <v>1977.865</v>
      </c>
      <c r="G242" s="328">
        <f>411.502-383.062+150</f>
        <v>178.44</v>
      </c>
      <c r="H242" s="328">
        <f>716.81</f>
        <v>716.81</v>
      </c>
      <c r="I242" s="328">
        <f>C241*26+36</f>
        <v>452</v>
      </c>
      <c r="J242" s="328"/>
      <c r="K242" s="295">
        <f>(I242+J242)*10%</f>
        <v>45.2</v>
      </c>
      <c r="L242" s="328">
        <f>D242-K242</f>
        <v>3279.915</v>
      </c>
    </row>
    <row r="243" spans="1:12">
      <c r="A243" s="300" t="s">
        <v>102</v>
      </c>
      <c r="B243" s="292" t="s">
        <v>639</v>
      </c>
      <c r="C243" s="341"/>
      <c r="D243" s="382">
        <f t="shared" si="85"/>
        <v>10</v>
      </c>
      <c r="E243" s="328"/>
      <c r="F243" s="328"/>
      <c r="G243" s="328"/>
      <c r="H243" s="328"/>
      <c r="I243" s="328"/>
      <c r="J243" s="328">
        <v>10</v>
      </c>
      <c r="K243" s="295">
        <f>(I243+J243)*10%</f>
        <v>1</v>
      </c>
      <c r="L243" s="328">
        <f>D243-K243</f>
        <v>9</v>
      </c>
    </row>
    <row r="244" spans="1:12" s="357" customFormat="1" ht="15">
      <c r="A244" s="298">
        <v>5</v>
      </c>
      <c r="B244" s="338" t="s">
        <v>199</v>
      </c>
      <c r="C244" s="339">
        <v>17</v>
      </c>
      <c r="D244" s="445">
        <f t="shared" si="85"/>
        <v>3740.8779999999997</v>
      </c>
      <c r="E244" s="340">
        <f t="shared" ref="E244:L244" si="91">SUM(E245:E246)</f>
        <v>3252.8779999999997</v>
      </c>
      <c r="F244" s="340">
        <f t="shared" si="91"/>
        <v>2219.6799999999998</v>
      </c>
      <c r="G244" s="340">
        <f t="shared" si="91"/>
        <v>228.75</v>
      </c>
      <c r="H244" s="340">
        <f t="shared" si="91"/>
        <v>804.44799999999998</v>
      </c>
      <c r="I244" s="340">
        <f t="shared" si="91"/>
        <v>478</v>
      </c>
      <c r="J244" s="340">
        <f t="shared" si="91"/>
        <v>10</v>
      </c>
      <c r="K244" s="340">
        <f t="shared" si="91"/>
        <v>48.800000000000004</v>
      </c>
      <c r="L244" s="340">
        <f t="shared" si="91"/>
        <v>3692.0779999999995</v>
      </c>
    </row>
    <row r="245" spans="1:12">
      <c r="A245" s="300" t="s">
        <v>102</v>
      </c>
      <c r="B245" s="370" t="s">
        <v>0</v>
      </c>
      <c r="C245" s="341"/>
      <c r="D245" s="382">
        <f t="shared" si="85"/>
        <v>3730.8779999999997</v>
      </c>
      <c r="E245" s="295">
        <f>F245+G245+H245</f>
        <v>3252.8779999999997</v>
      </c>
      <c r="F245" s="328">
        <v>2219.6799999999998</v>
      </c>
      <c r="G245" s="328">
        <f>461.812-383.062+150</f>
        <v>228.75</v>
      </c>
      <c r="H245" s="328">
        <f>804.448</f>
        <v>804.44799999999998</v>
      </c>
      <c r="I245" s="328">
        <f>C244*26+36</f>
        <v>478</v>
      </c>
      <c r="J245" s="328"/>
      <c r="K245" s="295">
        <f>(I245+J245)*10%</f>
        <v>47.800000000000004</v>
      </c>
      <c r="L245" s="328">
        <f>D245-K245</f>
        <v>3683.0779999999995</v>
      </c>
    </row>
    <row r="246" spans="1:12">
      <c r="A246" s="300" t="s">
        <v>102</v>
      </c>
      <c r="B246" s="292" t="s">
        <v>639</v>
      </c>
      <c r="C246" s="341"/>
      <c r="D246" s="382">
        <f t="shared" si="85"/>
        <v>10</v>
      </c>
      <c r="E246" s="328"/>
      <c r="F246" s="328"/>
      <c r="G246" s="328"/>
      <c r="H246" s="328"/>
      <c r="I246" s="328"/>
      <c r="J246" s="328">
        <v>10</v>
      </c>
      <c r="K246" s="295">
        <f>(I246+J246)*10%</f>
        <v>1</v>
      </c>
      <c r="L246" s="328">
        <f>D246-K246</f>
        <v>9</v>
      </c>
    </row>
    <row r="247" spans="1:12">
      <c r="A247" s="298">
        <v>6</v>
      </c>
      <c r="B247" s="338" t="s">
        <v>200</v>
      </c>
      <c r="C247" s="339">
        <v>14</v>
      </c>
      <c r="D247" s="445">
        <f t="shared" si="85"/>
        <v>3301.4409999999998</v>
      </c>
      <c r="E247" s="340">
        <f t="shared" ref="E247:L247" si="92">SUM(E248:E249)</f>
        <v>2891.4409999999998</v>
      </c>
      <c r="F247" s="340">
        <f t="shared" si="92"/>
        <v>1989.5340000000001</v>
      </c>
      <c r="G247" s="340">
        <f t="shared" si="92"/>
        <v>180.86799999999999</v>
      </c>
      <c r="H247" s="340">
        <f t="shared" si="92"/>
        <v>721.03899999999999</v>
      </c>
      <c r="I247" s="340">
        <f t="shared" si="92"/>
        <v>400</v>
      </c>
      <c r="J247" s="340">
        <f t="shared" si="92"/>
        <v>10</v>
      </c>
      <c r="K247" s="340">
        <f t="shared" si="92"/>
        <v>41</v>
      </c>
      <c r="L247" s="340">
        <f t="shared" si="92"/>
        <v>3260.4409999999998</v>
      </c>
    </row>
    <row r="248" spans="1:12" s="357" customFormat="1">
      <c r="A248" s="300" t="s">
        <v>102</v>
      </c>
      <c r="B248" s="370" t="s">
        <v>0</v>
      </c>
      <c r="C248" s="341"/>
      <c r="D248" s="382">
        <f t="shared" si="85"/>
        <v>3291.4409999999998</v>
      </c>
      <c r="E248" s="295">
        <f>F248+G248+H248</f>
        <v>2891.4409999999998</v>
      </c>
      <c r="F248" s="328">
        <v>1989.5340000000001</v>
      </c>
      <c r="G248" s="328">
        <f>413.93-383.062+150</f>
        <v>180.86799999999999</v>
      </c>
      <c r="H248" s="328">
        <f>721.039</f>
        <v>721.03899999999999</v>
      </c>
      <c r="I248" s="328">
        <f>C247*26+36</f>
        <v>400</v>
      </c>
      <c r="J248" s="328"/>
      <c r="K248" s="295">
        <f>(I248+J248)*10%</f>
        <v>40</v>
      </c>
      <c r="L248" s="328">
        <f>D248-K248</f>
        <v>3251.4409999999998</v>
      </c>
    </row>
    <row r="249" spans="1:12">
      <c r="A249" s="300" t="s">
        <v>102</v>
      </c>
      <c r="B249" s="292" t="s">
        <v>639</v>
      </c>
      <c r="C249" s="341"/>
      <c r="D249" s="382">
        <f t="shared" si="85"/>
        <v>10</v>
      </c>
      <c r="E249" s="328"/>
      <c r="F249" s="328"/>
      <c r="G249" s="328"/>
      <c r="H249" s="328"/>
      <c r="I249" s="328"/>
      <c r="J249" s="328">
        <v>10</v>
      </c>
      <c r="K249" s="295">
        <f>(I249+J249)*10%</f>
        <v>1</v>
      </c>
      <c r="L249" s="328">
        <f>D249-K249</f>
        <v>9</v>
      </c>
    </row>
    <row r="250" spans="1:12">
      <c r="A250" s="298">
        <v>7</v>
      </c>
      <c r="B250" s="338" t="s">
        <v>203</v>
      </c>
      <c r="C250" s="339">
        <v>22</v>
      </c>
      <c r="D250" s="445">
        <f t="shared" si="85"/>
        <v>5133.1499999999996</v>
      </c>
      <c r="E250" s="340">
        <f t="shared" ref="E250:L250" si="93">SUM(E251:E252)</f>
        <v>4515.1499999999996</v>
      </c>
      <c r="F250" s="340">
        <f t="shared" si="93"/>
        <v>3023.4349999999999</v>
      </c>
      <c r="G250" s="340">
        <f t="shared" si="93"/>
        <v>395.97399999999993</v>
      </c>
      <c r="H250" s="340">
        <f t="shared" si="93"/>
        <v>1095.741</v>
      </c>
      <c r="I250" s="340">
        <f t="shared" si="93"/>
        <v>608</v>
      </c>
      <c r="J250" s="340">
        <f t="shared" si="93"/>
        <v>10</v>
      </c>
      <c r="K250" s="340">
        <f t="shared" si="93"/>
        <v>61.800000000000004</v>
      </c>
      <c r="L250" s="340">
        <f t="shared" si="93"/>
        <v>5071.3499999999995</v>
      </c>
    </row>
    <row r="251" spans="1:12">
      <c r="A251" s="300" t="s">
        <v>102</v>
      </c>
      <c r="B251" s="370" t="s">
        <v>0</v>
      </c>
      <c r="C251" s="341"/>
      <c r="D251" s="382">
        <f t="shared" si="85"/>
        <v>5123.1499999999996</v>
      </c>
      <c r="E251" s="295">
        <f>F251+G251+H251</f>
        <v>4515.1499999999996</v>
      </c>
      <c r="F251" s="328">
        <v>3023.4349999999999</v>
      </c>
      <c r="G251" s="328">
        <f>629.036-383.062+150</f>
        <v>395.97399999999993</v>
      </c>
      <c r="H251" s="328">
        <f>1095.741</f>
        <v>1095.741</v>
      </c>
      <c r="I251" s="328">
        <f>C250*26+36</f>
        <v>608</v>
      </c>
      <c r="J251" s="328"/>
      <c r="K251" s="295">
        <f>(I251+J251)*10%</f>
        <v>60.800000000000004</v>
      </c>
      <c r="L251" s="328">
        <f>D251-K251</f>
        <v>5062.3499999999995</v>
      </c>
    </row>
    <row r="252" spans="1:12" s="357" customFormat="1">
      <c r="A252" s="300" t="s">
        <v>102</v>
      </c>
      <c r="B252" s="292" t="s">
        <v>639</v>
      </c>
      <c r="C252" s="341"/>
      <c r="D252" s="382">
        <f t="shared" si="85"/>
        <v>10</v>
      </c>
      <c r="E252" s="328"/>
      <c r="F252" s="328"/>
      <c r="G252" s="328"/>
      <c r="H252" s="328"/>
      <c r="I252" s="328"/>
      <c r="J252" s="328">
        <v>10</v>
      </c>
      <c r="K252" s="295">
        <f>(I252+J252)*10%</f>
        <v>1</v>
      </c>
      <c r="L252" s="328">
        <f>D252-K252</f>
        <v>9</v>
      </c>
    </row>
    <row r="253" spans="1:12">
      <c r="A253" s="298">
        <v>8</v>
      </c>
      <c r="B253" s="338" t="s">
        <v>204</v>
      </c>
      <c r="C253" s="339">
        <v>22</v>
      </c>
      <c r="D253" s="445">
        <f t="shared" si="85"/>
        <v>4958.3209999999999</v>
      </c>
      <c r="E253" s="340">
        <f t="shared" ref="E253:L253" si="94">SUM(E254:E255)</f>
        <v>4340.3209999999999</v>
      </c>
      <c r="F253" s="340">
        <f t="shared" si="94"/>
        <v>2912.1120000000001</v>
      </c>
      <c r="G253" s="340">
        <f t="shared" si="94"/>
        <v>372.81299999999999</v>
      </c>
      <c r="H253" s="340">
        <f t="shared" si="94"/>
        <v>1055.396</v>
      </c>
      <c r="I253" s="340">
        <f t="shared" si="94"/>
        <v>608</v>
      </c>
      <c r="J253" s="340">
        <f t="shared" si="94"/>
        <v>10</v>
      </c>
      <c r="K253" s="340">
        <f t="shared" si="94"/>
        <v>61.800000000000004</v>
      </c>
      <c r="L253" s="340">
        <f t="shared" si="94"/>
        <v>4896.5209999999997</v>
      </c>
    </row>
    <row r="254" spans="1:12">
      <c r="A254" s="300" t="s">
        <v>102</v>
      </c>
      <c r="B254" s="370" t="s">
        <v>0</v>
      </c>
      <c r="C254" s="341"/>
      <c r="D254" s="382">
        <f t="shared" si="85"/>
        <v>4948.3209999999999</v>
      </c>
      <c r="E254" s="295">
        <f>F254+G254+H254</f>
        <v>4340.3209999999999</v>
      </c>
      <c r="F254" s="328">
        <v>2912.1120000000001</v>
      </c>
      <c r="G254" s="328">
        <f>605.875-383.062+150</f>
        <v>372.81299999999999</v>
      </c>
      <c r="H254" s="328">
        <f>1055.396</f>
        <v>1055.396</v>
      </c>
      <c r="I254" s="328">
        <f>C253*26+36</f>
        <v>608</v>
      </c>
      <c r="J254" s="328"/>
      <c r="K254" s="295">
        <f>(I254+J254)*10%</f>
        <v>60.800000000000004</v>
      </c>
      <c r="L254" s="328">
        <f>D254-K254</f>
        <v>4887.5209999999997</v>
      </c>
    </row>
    <row r="255" spans="1:12">
      <c r="A255" s="300" t="s">
        <v>102</v>
      </c>
      <c r="B255" s="292" t="s">
        <v>639</v>
      </c>
      <c r="C255" s="341"/>
      <c r="D255" s="382">
        <f t="shared" si="85"/>
        <v>10</v>
      </c>
      <c r="E255" s="328"/>
      <c r="F255" s="328"/>
      <c r="G255" s="328"/>
      <c r="H255" s="328"/>
      <c r="I255" s="328"/>
      <c r="J255" s="328">
        <v>10</v>
      </c>
      <c r="K255" s="295">
        <f>(I255+J255)*10%</f>
        <v>1</v>
      </c>
      <c r="L255" s="328">
        <f>D255-K255</f>
        <v>9</v>
      </c>
    </row>
    <row r="256" spans="1:12" s="357" customFormat="1" ht="15">
      <c r="A256" s="298">
        <v>9</v>
      </c>
      <c r="B256" s="338" t="s">
        <v>195</v>
      </c>
      <c r="C256" s="339">
        <v>43</v>
      </c>
      <c r="D256" s="445">
        <f t="shared" si="85"/>
        <v>9252.3739999999998</v>
      </c>
      <c r="E256" s="340">
        <f t="shared" ref="E256:L256" si="95">SUM(E257:E258)</f>
        <v>8181.3739999999998</v>
      </c>
      <c r="F256" s="340">
        <f t="shared" si="95"/>
        <v>5548.9359999999997</v>
      </c>
      <c r="G256" s="340">
        <f t="shared" si="95"/>
        <v>621.4140000000001</v>
      </c>
      <c r="H256" s="340">
        <f t="shared" si="95"/>
        <v>2011.0239999999999</v>
      </c>
      <c r="I256" s="340">
        <f t="shared" si="95"/>
        <v>1061</v>
      </c>
      <c r="J256" s="340">
        <f t="shared" si="95"/>
        <v>10</v>
      </c>
      <c r="K256" s="340">
        <f t="shared" si="95"/>
        <v>107.10000000000001</v>
      </c>
      <c r="L256" s="340">
        <f t="shared" si="95"/>
        <v>9145.2739999999994</v>
      </c>
    </row>
    <row r="257" spans="1:12">
      <c r="A257" s="300" t="s">
        <v>102</v>
      </c>
      <c r="B257" s="370" t="s">
        <v>0</v>
      </c>
      <c r="C257" s="341"/>
      <c r="D257" s="382">
        <f t="shared" si="85"/>
        <v>9242.3739999999998</v>
      </c>
      <c r="E257" s="295">
        <f>F257+G257+H257</f>
        <v>8181.3739999999998</v>
      </c>
      <c r="F257" s="328">
        <v>5548.9359999999997</v>
      </c>
      <c r="G257" s="328">
        <f>1154.476-383.062-150</f>
        <v>621.4140000000001</v>
      </c>
      <c r="H257" s="328">
        <f>2011.024</f>
        <v>2011.0239999999999</v>
      </c>
      <c r="I257" s="328">
        <f>C256*23+72</f>
        <v>1061</v>
      </c>
      <c r="J257" s="328"/>
      <c r="K257" s="295">
        <f>(I257+J257)*10%</f>
        <v>106.10000000000001</v>
      </c>
      <c r="L257" s="328">
        <f>D257-K257</f>
        <v>9136.2739999999994</v>
      </c>
    </row>
    <row r="258" spans="1:12">
      <c r="A258" s="300" t="s">
        <v>102</v>
      </c>
      <c r="B258" s="292" t="s">
        <v>639</v>
      </c>
      <c r="C258" s="341"/>
      <c r="D258" s="382">
        <f t="shared" si="85"/>
        <v>10</v>
      </c>
      <c r="E258" s="328"/>
      <c r="F258" s="328"/>
      <c r="G258" s="328"/>
      <c r="H258" s="328"/>
      <c r="I258" s="328"/>
      <c r="J258" s="328">
        <v>10</v>
      </c>
      <c r="K258" s="295">
        <f>(I258+J258)*10%</f>
        <v>1</v>
      </c>
      <c r="L258" s="328">
        <f>D258-K258</f>
        <v>9</v>
      </c>
    </row>
    <row r="259" spans="1:12">
      <c r="A259" s="298">
        <v>10</v>
      </c>
      <c r="B259" s="338" t="s">
        <v>201</v>
      </c>
      <c r="C259" s="339">
        <v>36</v>
      </c>
      <c r="D259" s="445">
        <f t="shared" si="85"/>
        <v>8273.4589999999989</v>
      </c>
      <c r="E259" s="340">
        <f t="shared" ref="E259:L259" si="96">SUM(E260:E261)</f>
        <v>7363.4589999999989</v>
      </c>
      <c r="F259" s="340">
        <f t="shared" si="96"/>
        <v>4932.6139999999996</v>
      </c>
      <c r="G259" s="340">
        <f t="shared" si="96"/>
        <v>643.18600000000004</v>
      </c>
      <c r="H259" s="340">
        <f t="shared" si="96"/>
        <v>1787.6590000000001</v>
      </c>
      <c r="I259" s="340">
        <f t="shared" si="96"/>
        <v>900</v>
      </c>
      <c r="J259" s="340">
        <f t="shared" si="96"/>
        <v>10</v>
      </c>
      <c r="K259" s="340">
        <f t="shared" si="96"/>
        <v>91</v>
      </c>
      <c r="L259" s="340">
        <f t="shared" si="96"/>
        <v>8182.4589999999989</v>
      </c>
    </row>
    <row r="260" spans="1:12" s="357" customFormat="1">
      <c r="A260" s="300" t="s">
        <v>102</v>
      </c>
      <c r="B260" s="370" t="s">
        <v>0</v>
      </c>
      <c r="C260" s="341"/>
      <c r="D260" s="382">
        <f t="shared" si="85"/>
        <v>8263.4589999999989</v>
      </c>
      <c r="E260" s="295">
        <f>F260+G260+H260</f>
        <v>7363.4589999999989</v>
      </c>
      <c r="F260" s="328">
        <v>4932.6139999999996</v>
      </c>
      <c r="G260" s="328">
        <f>1026.248-383.062</f>
        <v>643.18600000000004</v>
      </c>
      <c r="H260" s="328">
        <f>1787.659</f>
        <v>1787.6590000000001</v>
      </c>
      <c r="I260" s="328">
        <f>C259*23+72</f>
        <v>900</v>
      </c>
      <c r="J260" s="328"/>
      <c r="K260" s="295">
        <f>(I260+J260)*10%</f>
        <v>90</v>
      </c>
      <c r="L260" s="328">
        <f>D260-K260</f>
        <v>8173.4589999999989</v>
      </c>
    </row>
    <row r="261" spans="1:12">
      <c r="A261" s="300" t="s">
        <v>102</v>
      </c>
      <c r="B261" s="292" t="s">
        <v>639</v>
      </c>
      <c r="C261" s="341"/>
      <c r="D261" s="382">
        <f t="shared" si="85"/>
        <v>10</v>
      </c>
      <c r="E261" s="328"/>
      <c r="F261" s="328"/>
      <c r="G261" s="328"/>
      <c r="H261" s="328"/>
      <c r="I261" s="328"/>
      <c r="J261" s="328">
        <v>10</v>
      </c>
      <c r="K261" s="295">
        <f>(I261+J261)*10%</f>
        <v>1</v>
      </c>
      <c r="L261" s="328">
        <f>D261-K261</f>
        <v>9</v>
      </c>
    </row>
    <row r="262" spans="1:12">
      <c r="A262" s="298">
        <v>11</v>
      </c>
      <c r="B262" s="338" t="s">
        <v>202</v>
      </c>
      <c r="C262" s="339">
        <v>35</v>
      </c>
      <c r="D262" s="445">
        <f t="shared" si="85"/>
        <v>7567.9349999999995</v>
      </c>
      <c r="E262" s="340">
        <f t="shared" ref="E262:L262" si="97">SUM(E263:E264)</f>
        <v>6680.9349999999995</v>
      </c>
      <c r="F262" s="340">
        <f t="shared" si="97"/>
        <v>4498.0159999999996</v>
      </c>
      <c r="G262" s="340">
        <f t="shared" si="97"/>
        <v>552.76599999999996</v>
      </c>
      <c r="H262" s="340">
        <f t="shared" si="97"/>
        <v>1630.153</v>
      </c>
      <c r="I262" s="340">
        <f t="shared" si="97"/>
        <v>877</v>
      </c>
      <c r="J262" s="340">
        <f t="shared" si="97"/>
        <v>10</v>
      </c>
      <c r="K262" s="340">
        <f t="shared" si="97"/>
        <v>88.7</v>
      </c>
      <c r="L262" s="340">
        <f t="shared" si="97"/>
        <v>7479.2349999999997</v>
      </c>
    </row>
    <row r="263" spans="1:12">
      <c r="A263" s="300" t="s">
        <v>102</v>
      </c>
      <c r="B263" s="370" t="s">
        <v>0</v>
      </c>
      <c r="C263" s="341"/>
      <c r="D263" s="382">
        <f t="shared" si="85"/>
        <v>7557.9349999999995</v>
      </c>
      <c r="E263" s="295">
        <f>F263+G263+H263</f>
        <v>6680.9349999999995</v>
      </c>
      <c r="F263" s="328">
        <v>4498.0159999999996</v>
      </c>
      <c r="G263" s="328">
        <f>935.828-383.062</f>
        <v>552.76599999999996</v>
      </c>
      <c r="H263" s="328">
        <f>1630.153</f>
        <v>1630.153</v>
      </c>
      <c r="I263" s="328">
        <f>C262*23+72</f>
        <v>877</v>
      </c>
      <c r="J263" s="328"/>
      <c r="K263" s="295">
        <f>(I263+J263)*10%</f>
        <v>87.7</v>
      </c>
      <c r="L263" s="328">
        <f>D263-K263</f>
        <v>7470.2349999999997</v>
      </c>
    </row>
    <row r="264" spans="1:12" s="357" customFormat="1">
      <c r="A264" s="300" t="s">
        <v>102</v>
      </c>
      <c r="B264" s="292" t="s">
        <v>639</v>
      </c>
      <c r="C264" s="341"/>
      <c r="D264" s="382">
        <f t="shared" ref="D264:D295" si="98">E264+I264+J264</f>
        <v>10</v>
      </c>
      <c r="E264" s="328"/>
      <c r="F264" s="328"/>
      <c r="G264" s="328"/>
      <c r="H264" s="328"/>
      <c r="I264" s="328"/>
      <c r="J264" s="328">
        <v>10</v>
      </c>
      <c r="K264" s="295">
        <f>(I264+J264)*10%</f>
        <v>1</v>
      </c>
      <c r="L264" s="328">
        <f>D264-K264</f>
        <v>9</v>
      </c>
    </row>
    <row r="265" spans="1:12">
      <c r="A265" s="298">
        <v>12</v>
      </c>
      <c r="B265" s="342" t="s">
        <v>205</v>
      </c>
      <c r="C265" s="339">
        <v>51</v>
      </c>
      <c r="D265" s="445">
        <f t="shared" si="98"/>
        <v>12357.348</v>
      </c>
      <c r="E265" s="340">
        <f t="shared" ref="E265:L265" si="99">SUM(E266:E267)</f>
        <v>11102.348</v>
      </c>
      <c r="F265" s="340">
        <f t="shared" si="99"/>
        <v>7429.9570000000003</v>
      </c>
      <c r="G265" s="340">
        <f t="shared" si="99"/>
        <v>1012.768</v>
      </c>
      <c r="H265" s="340">
        <f t="shared" si="99"/>
        <v>2659.623</v>
      </c>
      <c r="I265" s="340">
        <f t="shared" si="99"/>
        <v>1245</v>
      </c>
      <c r="J265" s="340">
        <f t="shared" si="99"/>
        <v>10</v>
      </c>
      <c r="K265" s="340">
        <f t="shared" si="99"/>
        <v>125.5</v>
      </c>
      <c r="L265" s="340">
        <f t="shared" si="99"/>
        <v>12231.848</v>
      </c>
    </row>
    <row r="266" spans="1:12">
      <c r="A266" s="300" t="s">
        <v>102</v>
      </c>
      <c r="B266" s="370" t="s">
        <v>0</v>
      </c>
      <c r="C266" s="341"/>
      <c r="D266" s="382">
        <f t="shared" si="98"/>
        <v>12347.348</v>
      </c>
      <c r="E266" s="295">
        <f>F266+G266+H266</f>
        <v>11102.348</v>
      </c>
      <c r="F266" s="328">
        <v>7429.9570000000003</v>
      </c>
      <c r="G266" s="328">
        <f>1545.83-383.062-150</f>
        <v>1012.768</v>
      </c>
      <c r="H266" s="328">
        <f>2692.736-33.113</f>
        <v>2659.623</v>
      </c>
      <c r="I266" s="328">
        <f>C265*23+72</f>
        <v>1245</v>
      </c>
      <c r="J266" s="328"/>
      <c r="K266" s="295">
        <f>(I266+J266)*10%</f>
        <v>124.5</v>
      </c>
      <c r="L266" s="328">
        <f>D266-K266</f>
        <v>12222.848</v>
      </c>
    </row>
    <row r="267" spans="1:12">
      <c r="A267" s="300" t="s">
        <v>102</v>
      </c>
      <c r="B267" s="292" t="s">
        <v>639</v>
      </c>
      <c r="C267" s="341"/>
      <c r="D267" s="382">
        <f t="shared" si="98"/>
        <v>10</v>
      </c>
      <c r="E267" s="328"/>
      <c r="F267" s="328"/>
      <c r="G267" s="328"/>
      <c r="H267" s="328"/>
      <c r="I267" s="328"/>
      <c r="J267" s="328">
        <v>10</v>
      </c>
      <c r="K267" s="295">
        <f>(I267+J267)*10%</f>
        <v>1</v>
      </c>
      <c r="L267" s="328">
        <f>D267-K267</f>
        <v>9</v>
      </c>
    </row>
    <row r="268" spans="1:12">
      <c r="A268" s="298">
        <v>13</v>
      </c>
      <c r="B268" s="342" t="s">
        <v>831</v>
      </c>
      <c r="C268" s="339">
        <v>67</v>
      </c>
      <c r="D268" s="445">
        <f t="shared" si="98"/>
        <v>18078.691999999999</v>
      </c>
      <c r="E268" s="340">
        <f t="shared" ref="E268:L268" si="100">SUM(E269:E270)</f>
        <v>16455.691999999999</v>
      </c>
      <c r="F268" s="340">
        <f t="shared" si="100"/>
        <v>10838.731</v>
      </c>
      <c r="G268" s="340">
        <f t="shared" si="100"/>
        <v>1721.9440000000002</v>
      </c>
      <c r="H268" s="340">
        <f t="shared" si="100"/>
        <v>3895.0170000000003</v>
      </c>
      <c r="I268" s="340">
        <f t="shared" si="100"/>
        <v>1613</v>
      </c>
      <c r="J268" s="340">
        <f t="shared" si="100"/>
        <v>10</v>
      </c>
      <c r="K268" s="340">
        <f t="shared" si="100"/>
        <v>162.30000000000001</v>
      </c>
      <c r="L268" s="340">
        <f t="shared" si="100"/>
        <v>17916.392</v>
      </c>
    </row>
    <row r="269" spans="1:12">
      <c r="A269" s="300" t="s">
        <v>102</v>
      </c>
      <c r="B269" s="370" t="s">
        <v>0</v>
      </c>
      <c r="C269" s="341"/>
      <c r="D269" s="382">
        <f t="shared" si="98"/>
        <v>18068.691999999999</v>
      </c>
      <c r="E269" s="295">
        <f>F269+G269+H269</f>
        <v>16455.691999999999</v>
      </c>
      <c r="F269" s="328">
        <v>10838.731</v>
      </c>
      <c r="G269" s="328">
        <f>2255.038-383.062-150-0.032</f>
        <v>1721.9440000000002</v>
      </c>
      <c r="H269" s="328">
        <f>3928.13-33.113</f>
        <v>3895.0170000000003</v>
      </c>
      <c r="I269" s="328">
        <f>C268*23+72</f>
        <v>1613</v>
      </c>
      <c r="J269" s="328"/>
      <c r="K269" s="295">
        <f>(I269+J269)*10%</f>
        <v>161.30000000000001</v>
      </c>
      <c r="L269" s="328">
        <f>D269-K269</f>
        <v>17907.392</v>
      </c>
    </row>
    <row r="270" spans="1:12" s="357" customFormat="1">
      <c r="A270" s="300" t="s">
        <v>102</v>
      </c>
      <c r="B270" s="292" t="s">
        <v>639</v>
      </c>
      <c r="C270" s="341"/>
      <c r="D270" s="382">
        <f t="shared" si="98"/>
        <v>10</v>
      </c>
      <c r="E270" s="328"/>
      <c r="F270" s="328"/>
      <c r="G270" s="328"/>
      <c r="H270" s="328"/>
      <c r="I270" s="328"/>
      <c r="J270" s="328">
        <v>10</v>
      </c>
      <c r="K270" s="295">
        <f>(I270+J270)*10%</f>
        <v>1</v>
      </c>
      <c r="L270" s="328">
        <f>D270-K270</f>
        <v>9</v>
      </c>
    </row>
    <row r="271" spans="1:12">
      <c r="A271" s="298">
        <v>14</v>
      </c>
      <c r="B271" s="342" t="s">
        <v>711</v>
      </c>
      <c r="C271" s="339">
        <v>73</v>
      </c>
      <c r="D271" s="445">
        <f t="shared" si="98"/>
        <v>19322.233</v>
      </c>
      <c r="E271" s="340">
        <f t="shared" ref="E271:L271" si="101">SUM(E272:E273)</f>
        <v>17561.233</v>
      </c>
      <c r="F271" s="340">
        <f t="shared" si="101"/>
        <v>11542.665999999999</v>
      </c>
      <c r="G271" s="340">
        <f t="shared" si="101"/>
        <v>1868.4320000000002</v>
      </c>
      <c r="H271" s="340">
        <f t="shared" si="101"/>
        <v>4150.1349999999993</v>
      </c>
      <c r="I271" s="340">
        <f t="shared" si="101"/>
        <v>1751</v>
      </c>
      <c r="J271" s="340">
        <f t="shared" si="101"/>
        <v>10</v>
      </c>
      <c r="K271" s="340">
        <f t="shared" si="101"/>
        <v>176.10000000000002</v>
      </c>
      <c r="L271" s="340">
        <f t="shared" si="101"/>
        <v>19146.133000000002</v>
      </c>
    </row>
    <row r="272" spans="1:12">
      <c r="A272" s="300" t="s">
        <v>102</v>
      </c>
      <c r="B272" s="370" t="s">
        <v>0</v>
      </c>
      <c r="C272" s="341"/>
      <c r="D272" s="382">
        <f t="shared" si="98"/>
        <v>19312.233</v>
      </c>
      <c r="E272" s="295">
        <f>F272+G272+H272</f>
        <v>17561.233</v>
      </c>
      <c r="F272" s="328">
        <v>11542.665999999999</v>
      </c>
      <c r="G272" s="328">
        <f>2401.494-383.062-150</f>
        <v>1868.4320000000002</v>
      </c>
      <c r="H272" s="328">
        <f>4183.248-33.113</f>
        <v>4150.1349999999993</v>
      </c>
      <c r="I272" s="328">
        <f>C271*23+72</f>
        <v>1751</v>
      </c>
      <c r="J272" s="328"/>
      <c r="K272" s="295">
        <f>(I272+J272)*10%</f>
        <v>175.10000000000002</v>
      </c>
      <c r="L272" s="328">
        <f>D272-K272</f>
        <v>19137.133000000002</v>
      </c>
    </row>
    <row r="273" spans="1:12" s="357" customFormat="1">
      <c r="A273" s="300" t="s">
        <v>102</v>
      </c>
      <c r="B273" s="292" t="s">
        <v>639</v>
      </c>
      <c r="C273" s="341"/>
      <c r="D273" s="382">
        <f t="shared" si="98"/>
        <v>10</v>
      </c>
      <c r="E273" s="328"/>
      <c r="F273" s="328"/>
      <c r="G273" s="328"/>
      <c r="H273" s="328"/>
      <c r="I273" s="328"/>
      <c r="J273" s="328">
        <v>10</v>
      </c>
      <c r="K273" s="295">
        <f>(I273+J273)*10%</f>
        <v>1</v>
      </c>
      <c r="L273" s="328">
        <f>D273-K273</f>
        <v>9</v>
      </c>
    </row>
    <row r="274" spans="1:12">
      <c r="A274" s="298">
        <v>15</v>
      </c>
      <c r="B274" s="342" t="s">
        <v>569</v>
      </c>
      <c r="C274" s="339">
        <v>48</v>
      </c>
      <c r="D274" s="445">
        <f t="shared" si="98"/>
        <v>12127.378000000001</v>
      </c>
      <c r="E274" s="340">
        <f t="shared" ref="E274:L274" si="102">SUM(E275:E276)</f>
        <v>10941.378000000001</v>
      </c>
      <c r="F274" s="340">
        <f t="shared" si="102"/>
        <v>7327.4589999999998</v>
      </c>
      <c r="G274" s="340">
        <f t="shared" si="102"/>
        <v>991.44300000000021</v>
      </c>
      <c r="H274" s="340">
        <f t="shared" si="102"/>
        <v>2622.4760000000001</v>
      </c>
      <c r="I274" s="340">
        <f t="shared" si="102"/>
        <v>1176</v>
      </c>
      <c r="J274" s="340">
        <f t="shared" si="102"/>
        <v>10</v>
      </c>
      <c r="K274" s="340">
        <f t="shared" si="102"/>
        <v>118.60000000000001</v>
      </c>
      <c r="L274" s="340">
        <f t="shared" si="102"/>
        <v>12008.778</v>
      </c>
    </row>
    <row r="275" spans="1:12">
      <c r="A275" s="300" t="s">
        <v>102</v>
      </c>
      <c r="B275" s="370" t="s">
        <v>0</v>
      </c>
      <c r="C275" s="341"/>
      <c r="D275" s="382">
        <f t="shared" si="98"/>
        <v>12117.378000000001</v>
      </c>
      <c r="E275" s="295">
        <f>F275+G275+H275</f>
        <v>10941.378000000001</v>
      </c>
      <c r="F275" s="328">
        <v>7327.4589999999998</v>
      </c>
      <c r="G275" s="328">
        <f>1524.505-383.062-150</f>
        <v>991.44300000000021</v>
      </c>
      <c r="H275" s="328">
        <f>2655.589-33.113</f>
        <v>2622.4760000000001</v>
      </c>
      <c r="I275" s="328">
        <f>C274*23+72</f>
        <v>1176</v>
      </c>
      <c r="J275" s="328"/>
      <c r="K275" s="295">
        <f>(I275+J275)*10%</f>
        <v>117.60000000000001</v>
      </c>
      <c r="L275" s="328">
        <f>D275-K275</f>
        <v>11999.778</v>
      </c>
    </row>
    <row r="276" spans="1:12" s="357" customFormat="1">
      <c r="A276" s="300" t="s">
        <v>102</v>
      </c>
      <c r="B276" s="292" t="s">
        <v>639</v>
      </c>
      <c r="C276" s="341"/>
      <c r="D276" s="382">
        <f t="shared" si="98"/>
        <v>10</v>
      </c>
      <c r="E276" s="328"/>
      <c r="F276" s="328"/>
      <c r="G276" s="328"/>
      <c r="H276" s="328"/>
      <c r="I276" s="328"/>
      <c r="J276" s="328">
        <v>10</v>
      </c>
      <c r="K276" s="295">
        <f>(I276+J276)*10%</f>
        <v>1</v>
      </c>
      <c r="L276" s="328">
        <f>D276-K276</f>
        <v>9</v>
      </c>
    </row>
    <row r="277" spans="1:12">
      <c r="A277" s="298">
        <v>16</v>
      </c>
      <c r="B277" s="342" t="s">
        <v>206</v>
      </c>
      <c r="C277" s="339">
        <v>47</v>
      </c>
      <c r="D277" s="445">
        <f t="shared" si="98"/>
        <v>11829.994999999999</v>
      </c>
      <c r="E277" s="340">
        <f t="shared" ref="E277:L277" si="103">SUM(E278:E279)</f>
        <v>10566.994999999999</v>
      </c>
      <c r="F277" s="340">
        <f t="shared" si="103"/>
        <v>7089.07</v>
      </c>
      <c r="G277" s="340">
        <f t="shared" si="103"/>
        <v>941.8449999999998</v>
      </c>
      <c r="H277" s="340">
        <f t="shared" si="103"/>
        <v>2536.0800000000004</v>
      </c>
      <c r="I277" s="340">
        <f t="shared" si="103"/>
        <v>1153</v>
      </c>
      <c r="J277" s="340">
        <f t="shared" si="103"/>
        <v>110</v>
      </c>
      <c r="K277" s="340">
        <f t="shared" si="103"/>
        <v>126.30000000000001</v>
      </c>
      <c r="L277" s="340">
        <f t="shared" si="103"/>
        <v>11703.695</v>
      </c>
    </row>
    <row r="278" spans="1:12">
      <c r="A278" s="300" t="s">
        <v>102</v>
      </c>
      <c r="B278" s="370" t="s">
        <v>0</v>
      </c>
      <c r="C278" s="341"/>
      <c r="D278" s="382">
        <f t="shared" si="98"/>
        <v>11819.994999999999</v>
      </c>
      <c r="E278" s="295">
        <f>F278+G278+H278</f>
        <v>10566.994999999999</v>
      </c>
      <c r="F278" s="328">
        <v>7089.07</v>
      </c>
      <c r="G278" s="328">
        <f>1474.907-383.062-150</f>
        <v>941.8449999999998</v>
      </c>
      <c r="H278" s="328">
        <f>2569.193-33.113</f>
        <v>2536.0800000000004</v>
      </c>
      <c r="I278" s="328">
        <f>C277*23+72</f>
        <v>1153</v>
      </c>
      <c r="J278" s="328">
        <v>100</v>
      </c>
      <c r="K278" s="295">
        <f>(I278+J278)*10%</f>
        <v>125.30000000000001</v>
      </c>
      <c r="L278" s="328">
        <f>D278-K278</f>
        <v>11694.695</v>
      </c>
    </row>
    <row r="279" spans="1:12">
      <c r="A279" s="300" t="s">
        <v>102</v>
      </c>
      <c r="B279" s="292" t="s">
        <v>639</v>
      </c>
      <c r="C279" s="341"/>
      <c r="D279" s="382">
        <f t="shared" si="98"/>
        <v>10</v>
      </c>
      <c r="E279" s="328"/>
      <c r="F279" s="328"/>
      <c r="G279" s="328"/>
      <c r="H279" s="328"/>
      <c r="I279" s="328"/>
      <c r="J279" s="328">
        <v>10</v>
      </c>
      <c r="K279" s="295">
        <f>(I279+J279)*10%</f>
        <v>1</v>
      </c>
      <c r="L279" s="328">
        <f>D279-K279</f>
        <v>9</v>
      </c>
    </row>
    <row r="280" spans="1:12" s="357" customFormat="1" ht="15">
      <c r="A280" s="298">
        <v>17</v>
      </c>
      <c r="B280" s="338" t="s">
        <v>274</v>
      </c>
      <c r="C280" s="339">
        <v>29</v>
      </c>
      <c r="D280" s="445">
        <f t="shared" si="98"/>
        <v>7969.5010000000002</v>
      </c>
      <c r="E280" s="340">
        <f t="shared" ref="E280:L280" si="104">SUM(E281:E282)</f>
        <v>7169.5010000000002</v>
      </c>
      <c r="F280" s="340">
        <f t="shared" si="104"/>
        <v>4809.1109999999999</v>
      </c>
      <c r="G280" s="340">
        <f t="shared" si="104"/>
        <v>617.49099999999999</v>
      </c>
      <c r="H280" s="340">
        <f t="shared" si="104"/>
        <v>1742.8989999999999</v>
      </c>
      <c r="I280" s="340">
        <f t="shared" si="104"/>
        <v>790</v>
      </c>
      <c r="J280" s="340">
        <f t="shared" si="104"/>
        <v>10</v>
      </c>
      <c r="K280" s="340">
        <f t="shared" si="104"/>
        <v>80</v>
      </c>
      <c r="L280" s="340">
        <f t="shared" si="104"/>
        <v>7889.5010000000002</v>
      </c>
    </row>
    <row r="281" spans="1:12">
      <c r="A281" s="300" t="s">
        <v>102</v>
      </c>
      <c r="B281" s="370" t="s">
        <v>0</v>
      </c>
      <c r="C281" s="341"/>
      <c r="D281" s="382">
        <f t="shared" si="98"/>
        <v>7959.5010000000002</v>
      </c>
      <c r="E281" s="295">
        <f>F281+G281+H281</f>
        <v>7169.5010000000002</v>
      </c>
      <c r="F281" s="328">
        <v>4809.1109999999999</v>
      </c>
      <c r="G281" s="328">
        <f>1000.553-383.062</f>
        <v>617.49099999999999</v>
      </c>
      <c r="H281" s="328">
        <f>1742.899</f>
        <v>1742.8989999999999</v>
      </c>
      <c r="I281" s="328">
        <f>C280*26+36</f>
        <v>790</v>
      </c>
      <c r="J281" s="328"/>
      <c r="K281" s="295">
        <f>(I281+J281)*10%</f>
        <v>79</v>
      </c>
      <c r="L281" s="328">
        <f>D281-K281</f>
        <v>7880.5010000000002</v>
      </c>
    </row>
    <row r="282" spans="1:12">
      <c r="A282" s="300" t="s">
        <v>102</v>
      </c>
      <c r="B282" s="292" t="s">
        <v>639</v>
      </c>
      <c r="C282" s="341"/>
      <c r="D282" s="382">
        <f t="shared" si="98"/>
        <v>10</v>
      </c>
      <c r="E282" s="328"/>
      <c r="F282" s="328"/>
      <c r="G282" s="328"/>
      <c r="H282" s="328"/>
      <c r="I282" s="328"/>
      <c r="J282" s="328">
        <v>10</v>
      </c>
      <c r="K282" s="295">
        <f>(I282+J282)*10%</f>
        <v>1</v>
      </c>
      <c r="L282" s="328">
        <f>D282-K282</f>
        <v>9</v>
      </c>
    </row>
    <row r="283" spans="1:12" s="357" customFormat="1" ht="15">
      <c r="A283" s="298">
        <v>18</v>
      </c>
      <c r="B283" s="338" t="s">
        <v>261</v>
      </c>
      <c r="C283" s="339">
        <v>37</v>
      </c>
      <c r="D283" s="445">
        <f t="shared" si="98"/>
        <v>8834.9589999999989</v>
      </c>
      <c r="E283" s="340">
        <f t="shared" ref="E283:L283" si="105">SUM(E284:E285)</f>
        <v>7901.9589999999998</v>
      </c>
      <c r="F283" s="340">
        <f t="shared" si="105"/>
        <v>5371.018</v>
      </c>
      <c r="G283" s="340">
        <f t="shared" si="105"/>
        <v>584.39800000000002</v>
      </c>
      <c r="H283" s="340">
        <f t="shared" si="105"/>
        <v>1946.5429999999999</v>
      </c>
      <c r="I283" s="340">
        <f t="shared" si="105"/>
        <v>923</v>
      </c>
      <c r="J283" s="340">
        <f t="shared" si="105"/>
        <v>10</v>
      </c>
      <c r="K283" s="340">
        <f t="shared" si="105"/>
        <v>93.300000000000011</v>
      </c>
      <c r="L283" s="340">
        <f t="shared" si="105"/>
        <v>8741.6589999999997</v>
      </c>
    </row>
    <row r="284" spans="1:12">
      <c r="A284" s="300" t="s">
        <v>102</v>
      </c>
      <c r="B284" s="370" t="s">
        <v>0</v>
      </c>
      <c r="C284" s="341"/>
      <c r="D284" s="382">
        <f t="shared" si="98"/>
        <v>8824.9589999999989</v>
      </c>
      <c r="E284" s="295">
        <f>F284+G284+H284</f>
        <v>7901.9589999999998</v>
      </c>
      <c r="F284" s="328">
        <v>5371.018</v>
      </c>
      <c r="G284" s="328">
        <f>1117.46-383.062-150</f>
        <v>584.39800000000002</v>
      </c>
      <c r="H284" s="328">
        <f>1946.543</f>
        <v>1946.5429999999999</v>
      </c>
      <c r="I284" s="328">
        <f>C283*23+72</f>
        <v>923</v>
      </c>
      <c r="J284" s="328"/>
      <c r="K284" s="295">
        <f>(I284+J284)*10%</f>
        <v>92.300000000000011</v>
      </c>
      <c r="L284" s="328">
        <f>D284-K284</f>
        <v>8732.6589999999997</v>
      </c>
    </row>
    <row r="285" spans="1:12">
      <c r="A285" s="300" t="s">
        <v>102</v>
      </c>
      <c r="B285" s="292" t="s">
        <v>639</v>
      </c>
      <c r="C285" s="341"/>
      <c r="D285" s="382">
        <f t="shared" si="98"/>
        <v>10</v>
      </c>
      <c r="E285" s="328"/>
      <c r="F285" s="328"/>
      <c r="G285" s="328"/>
      <c r="H285" s="328"/>
      <c r="I285" s="328"/>
      <c r="J285" s="328">
        <v>10</v>
      </c>
      <c r="K285" s="295">
        <f>(I285+J285)*10%</f>
        <v>1</v>
      </c>
      <c r="L285" s="328">
        <f>D285-K285</f>
        <v>9</v>
      </c>
    </row>
    <row r="286" spans="1:12" s="357" customFormat="1" ht="15">
      <c r="A286" s="298">
        <v>19</v>
      </c>
      <c r="B286" s="338" t="s">
        <v>275</v>
      </c>
      <c r="C286" s="339">
        <v>34</v>
      </c>
      <c r="D286" s="445">
        <f t="shared" si="98"/>
        <v>8940.2540000000008</v>
      </c>
      <c r="E286" s="340">
        <f t="shared" ref="E286:L286" si="106">SUM(E287:E288)</f>
        <v>8076.2540000000008</v>
      </c>
      <c r="F286" s="340">
        <f t="shared" si="106"/>
        <v>5386.4880000000003</v>
      </c>
      <c r="G286" s="340">
        <f t="shared" si="106"/>
        <v>737.6160000000001</v>
      </c>
      <c r="H286" s="340">
        <f t="shared" si="106"/>
        <v>1952.15</v>
      </c>
      <c r="I286" s="340">
        <f t="shared" si="106"/>
        <v>854</v>
      </c>
      <c r="J286" s="340">
        <f t="shared" si="106"/>
        <v>10</v>
      </c>
      <c r="K286" s="340">
        <f t="shared" si="106"/>
        <v>86.4</v>
      </c>
      <c r="L286" s="340">
        <f t="shared" si="106"/>
        <v>8853.8540000000012</v>
      </c>
    </row>
    <row r="287" spans="1:12">
      <c r="A287" s="300" t="s">
        <v>102</v>
      </c>
      <c r="B287" s="370" t="s">
        <v>0</v>
      </c>
      <c r="C287" s="341"/>
      <c r="D287" s="382">
        <f t="shared" si="98"/>
        <v>8930.2540000000008</v>
      </c>
      <c r="E287" s="295">
        <f>F287+G287+H287</f>
        <v>8076.2540000000008</v>
      </c>
      <c r="F287" s="328">
        <v>5386.4880000000003</v>
      </c>
      <c r="G287" s="328">
        <f>1120.678-383.062</f>
        <v>737.6160000000001</v>
      </c>
      <c r="H287" s="328">
        <f>1952.15</f>
        <v>1952.15</v>
      </c>
      <c r="I287" s="328">
        <f>C286*23+72</f>
        <v>854</v>
      </c>
      <c r="J287" s="328"/>
      <c r="K287" s="295">
        <f>(I287+J287)*10%</f>
        <v>85.4</v>
      </c>
      <c r="L287" s="328">
        <f>D287-K287</f>
        <v>8844.8540000000012</v>
      </c>
    </row>
    <row r="288" spans="1:12">
      <c r="A288" s="300" t="s">
        <v>102</v>
      </c>
      <c r="B288" s="292" t="s">
        <v>639</v>
      </c>
      <c r="C288" s="341"/>
      <c r="D288" s="382">
        <f t="shared" si="98"/>
        <v>10</v>
      </c>
      <c r="E288" s="328"/>
      <c r="F288" s="328"/>
      <c r="G288" s="328"/>
      <c r="H288" s="328"/>
      <c r="I288" s="328"/>
      <c r="J288" s="328">
        <v>10</v>
      </c>
      <c r="K288" s="295">
        <f>(I288+J288)*10%</f>
        <v>1</v>
      </c>
      <c r="L288" s="328">
        <f>D288-K288</f>
        <v>9</v>
      </c>
    </row>
    <row r="289" spans="1:12" s="357" customFormat="1" ht="15">
      <c r="A289" s="298">
        <v>20</v>
      </c>
      <c r="B289" s="338" t="s">
        <v>262</v>
      </c>
      <c r="C289" s="339">
        <v>35</v>
      </c>
      <c r="D289" s="445">
        <f t="shared" si="98"/>
        <v>9133.7939999999999</v>
      </c>
      <c r="E289" s="340">
        <f t="shared" ref="E289:L289" si="107">SUM(E290:E291)</f>
        <v>8246.7939999999999</v>
      </c>
      <c r="F289" s="340">
        <f t="shared" si="107"/>
        <v>5495.08</v>
      </c>
      <c r="G289" s="340">
        <f t="shared" si="107"/>
        <v>760.20899999999995</v>
      </c>
      <c r="H289" s="340">
        <f t="shared" si="107"/>
        <v>1991.5050000000001</v>
      </c>
      <c r="I289" s="340">
        <f t="shared" si="107"/>
        <v>877</v>
      </c>
      <c r="J289" s="340">
        <f t="shared" si="107"/>
        <v>10</v>
      </c>
      <c r="K289" s="340">
        <f t="shared" si="107"/>
        <v>88.7</v>
      </c>
      <c r="L289" s="340">
        <f t="shared" si="107"/>
        <v>9045.0939999999991</v>
      </c>
    </row>
    <row r="290" spans="1:12">
      <c r="A290" s="300" t="s">
        <v>102</v>
      </c>
      <c r="B290" s="370" t="s">
        <v>0</v>
      </c>
      <c r="C290" s="341"/>
      <c r="D290" s="382">
        <f t="shared" si="98"/>
        <v>9123.7939999999999</v>
      </c>
      <c r="E290" s="295">
        <f>F290+G290+H290</f>
        <v>8246.7939999999999</v>
      </c>
      <c r="F290" s="328">
        <v>5495.08</v>
      </c>
      <c r="G290" s="328">
        <f>1143.271-383.062</f>
        <v>760.20899999999995</v>
      </c>
      <c r="H290" s="328">
        <f>1991.505</f>
        <v>1991.5050000000001</v>
      </c>
      <c r="I290" s="328">
        <f>C289*23+72</f>
        <v>877</v>
      </c>
      <c r="J290" s="328"/>
      <c r="K290" s="295">
        <f>(I290+J290)*10%</f>
        <v>87.7</v>
      </c>
      <c r="L290" s="328">
        <f>D290-K290</f>
        <v>9036.0939999999991</v>
      </c>
    </row>
    <row r="291" spans="1:12">
      <c r="A291" s="300" t="s">
        <v>102</v>
      </c>
      <c r="B291" s="292" t="s">
        <v>639</v>
      </c>
      <c r="C291" s="341"/>
      <c r="D291" s="382">
        <f t="shared" si="98"/>
        <v>10</v>
      </c>
      <c r="E291" s="328"/>
      <c r="F291" s="328"/>
      <c r="G291" s="328"/>
      <c r="H291" s="328"/>
      <c r="I291" s="328"/>
      <c r="J291" s="328">
        <v>10</v>
      </c>
      <c r="K291" s="295">
        <f>(I291+J291)*10%</f>
        <v>1</v>
      </c>
      <c r="L291" s="328">
        <f>D291-K291</f>
        <v>9</v>
      </c>
    </row>
    <row r="292" spans="1:12" s="357" customFormat="1" ht="15">
      <c r="A292" s="298">
        <v>21</v>
      </c>
      <c r="B292" s="338" t="s">
        <v>263</v>
      </c>
      <c r="C292" s="339">
        <v>34</v>
      </c>
      <c r="D292" s="445">
        <f t="shared" si="98"/>
        <v>8342.2939999999999</v>
      </c>
      <c r="E292" s="340">
        <f t="shared" ref="E292:L292" si="108">SUM(E293:E294)</f>
        <v>7478.2939999999999</v>
      </c>
      <c r="F292" s="340">
        <f t="shared" si="108"/>
        <v>5005.7359999999999</v>
      </c>
      <c r="G292" s="340">
        <f t="shared" si="108"/>
        <v>658.399</v>
      </c>
      <c r="H292" s="340">
        <f t="shared" si="108"/>
        <v>1814.1590000000001</v>
      </c>
      <c r="I292" s="340">
        <f t="shared" si="108"/>
        <v>854</v>
      </c>
      <c r="J292" s="340">
        <f t="shared" si="108"/>
        <v>10</v>
      </c>
      <c r="K292" s="340">
        <f t="shared" si="108"/>
        <v>86.4</v>
      </c>
      <c r="L292" s="340">
        <f t="shared" si="108"/>
        <v>8255.8940000000002</v>
      </c>
    </row>
    <row r="293" spans="1:12">
      <c r="A293" s="300" t="s">
        <v>102</v>
      </c>
      <c r="B293" s="370" t="s">
        <v>0</v>
      </c>
      <c r="C293" s="341"/>
      <c r="D293" s="382">
        <f t="shared" si="98"/>
        <v>8332.2939999999999</v>
      </c>
      <c r="E293" s="295">
        <f>F293+G293+H293</f>
        <v>7478.2939999999999</v>
      </c>
      <c r="F293" s="328">
        <v>5005.7359999999999</v>
      </c>
      <c r="G293" s="328">
        <f>1041.461-383.062</f>
        <v>658.399</v>
      </c>
      <c r="H293" s="328">
        <f>1814.159</f>
        <v>1814.1590000000001</v>
      </c>
      <c r="I293" s="328">
        <f>C292*23+72</f>
        <v>854</v>
      </c>
      <c r="J293" s="328"/>
      <c r="K293" s="295">
        <f>(I293+J293)*10%</f>
        <v>85.4</v>
      </c>
      <c r="L293" s="328">
        <f>D293-K293</f>
        <v>8246.8940000000002</v>
      </c>
    </row>
    <row r="294" spans="1:12">
      <c r="A294" s="300" t="s">
        <v>102</v>
      </c>
      <c r="B294" s="292" t="s">
        <v>639</v>
      </c>
      <c r="C294" s="341"/>
      <c r="D294" s="382">
        <f t="shared" si="98"/>
        <v>10</v>
      </c>
      <c r="E294" s="328"/>
      <c r="F294" s="328"/>
      <c r="G294" s="328"/>
      <c r="H294" s="328"/>
      <c r="I294" s="328"/>
      <c r="J294" s="328">
        <v>10</v>
      </c>
      <c r="K294" s="295">
        <f>(I294+J294)*10%</f>
        <v>1</v>
      </c>
      <c r="L294" s="328">
        <f>D294-K294</f>
        <v>9</v>
      </c>
    </row>
    <row r="295" spans="1:12">
      <c r="A295" s="298">
        <v>22</v>
      </c>
      <c r="B295" s="338" t="s">
        <v>264</v>
      </c>
      <c r="C295" s="339">
        <v>37</v>
      </c>
      <c r="D295" s="445">
        <f t="shared" si="98"/>
        <v>9451.5589999999993</v>
      </c>
      <c r="E295" s="340">
        <f t="shared" ref="E295:L295" si="109">SUM(E296:E297)</f>
        <v>8518.5589999999993</v>
      </c>
      <c r="F295" s="340">
        <f t="shared" si="109"/>
        <v>5668.1270000000004</v>
      </c>
      <c r="G295" s="340">
        <f t="shared" si="109"/>
        <v>796.21199999999988</v>
      </c>
      <c r="H295" s="340">
        <f t="shared" si="109"/>
        <v>2054.2199999999998</v>
      </c>
      <c r="I295" s="340">
        <f t="shared" si="109"/>
        <v>923</v>
      </c>
      <c r="J295" s="340">
        <f t="shared" si="109"/>
        <v>10</v>
      </c>
      <c r="K295" s="340">
        <f t="shared" si="109"/>
        <v>93.300000000000011</v>
      </c>
      <c r="L295" s="340">
        <f t="shared" si="109"/>
        <v>9358.259</v>
      </c>
    </row>
    <row r="296" spans="1:12" s="357" customFormat="1">
      <c r="A296" s="300" t="s">
        <v>102</v>
      </c>
      <c r="B296" s="370" t="s">
        <v>0</v>
      </c>
      <c r="C296" s="341"/>
      <c r="D296" s="382">
        <f t="shared" ref="D296:D300" si="110">E296+I296+J296</f>
        <v>9441.5589999999993</v>
      </c>
      <c r="E296" s="295">
        <f>F296+G296+H296</f>
        <v>8518.5589999999993</v>
      </c>
      <c r="F296" s="328">
        <v>5668.1270000000004</v>
      </c>
      <c r="G296" s="328">
        <f>1179.274-383.062</f>
        <v>796.21199999999988</v>
      </c>
      <c r="H296" s="328">
        <f>2054.22</f>
        <v>2054.2199999999998</v>
      </c>
      <c r="I296" s="328">
        <f>C295*23+72</f>
        <v>923</v>
      </c>
      <c r="J296" s="328"/>
      <c r="K296" s="295">
        <f>(I296+J296)*10%</f>
        <v>92.300000000000011</v>
      </c>
      <c r="L296" s="328">
        <f>D296-K296</f>
        <v>9349.259</v>
      </c>
    </row>
    <row r="297" spans="1:12">
      <c r="A297" s="300" t="s">
        <v>102</v>
      </c>
      <c r="B297" s="292" t="s">
        <v>639</v>
      </c>
      <c r="C297" s="341"/>
      <c r="D297" s="382">
        <f t="shared" si="110"/>
        <v>10</v>
      </c>
      <c r="E297" s="328"/>
      <c r="F297" s="328"/>
      <c r="G297" s="328"/>
      <c r="H297" s="328"/>
      <c r="I297" s="328"/>
      <c r="J297" s="328">
        <v>10</v>
      </c>
      <c r="K297" s="295">
        <f>(I297+J297)*10%</f>
        <v>1</v>
      </c>
      <c r="L297" s="328">
        <f>D297-K297</f>
        <v>9</v>
      </c>
    </row>
    <row r="298" spans="1:12">
      <c r="A298" s="311">
        <v>23</v>
      </c>
      <c r="B298" s="342" t="s">
        <v>315</v>
      </c>
      <c r="C298" s="339">
        <v>48</v>
      </c>
      <c r="D298" s="445">
        <f t="shared" si="110"/>
        <v>12813.994999999999</v>
      </c>
      <c r="E298" s="340">
        <f>SUM(E299:E300)</f>
        <v>11627.994999999999</v>
      </c>
      <c r="F298" s="340">
        <f t="shared" ref="F298:H298" si="111">SUM(F299:F300)</f>
        <v>7764.6639999999998</v>
      </c>
      <c r="G298" s="340">
        <f t="shared" si="111"/>
        <v>1082.4050000000002</v>
      </c>
      <c r="H298" s="340">
        <f t="shared" si="111"/>
        <v>2780.9260000000004</v>
      </c>
      <c r="I298" s="340">
        <f t="shared" ref="I298:L298" si="112">SUM(I299:I300)</f>
        <v>1176</v>
      </c>
      <c r="J298" s="340">
        <f t="shared" si="112"/>
        <v>10</v>
      </c>
      <c r="K298" s="340">
        <f t="shared" si="112"/>
        <v>118.60000000000001</v>
      </c>
      <c r="L298" s="340">
        <f t="shared" si="112"/>
        <v>12695.394999999999</v>
      </c>
    </row>
    <row r="299" spans="1:12" s="357" customFormat="1">
      <c r="A299" s="300" t="s">
        <v>102</v>
      </c>
      <c r="B299" s="370" t="s">
        <v>0</v>
      </c>
      <c r="C299" s="341"/>
      <c r="D299" s="382">
        <f t="shared" si="110"/>
        <v>12803.994999999999</v>
      </c>
      <c r="E299" s="295">
        <f>F299+G299+H299</f>
        <v>11627.994999999999</v>
      </c>
      <c r="F299" s="328">
        <v>7764.6639999999998</v>
      </c>
      <c r="G299" s="328">
        <f>1615.467-383.062-150</f>
        <v>1082.4050000000002</v>
      </c>
      <c r="H299" s="328">
        <f>2814.039-33.113</f>
        <v>2780.9260000000004</v>
      </c>
      <c r="I299" s="328">
        <f>C298*23+72</f>
        <v>1176</v>
      </c>
      <c r="J299" s="328"/>
      <c r="K299" s="295">
        <f>(I299+J299)*10%</f>
        <v>117.60000000000001</v>
      </c>
      <c r="L299" s="328">
        <f>D299-K299</f>
        <v>12686.394999999999</v>
      </c>
    </row>
    <row r="300" spans="1:12">
      <c r="A300" s="300" t="s">
        <v>102</v>
      </c>
      <c r="B300" s="292" t="s">
        <v>639</v>
      </c>
      <c r="C300" s="341"/>
      <c r="D300" s="382">
        <f t="shared" si="110"/>
        <v>10</v>
      </c>
      <c r="E300" s="328"/>
      <c r="F300" s="328"/>
      <c r="G300" s="328"/>
      <c r="H300" s="328"/>
      <c r="I300" s="328"/>
      <c r="J300" s="328">
        <v>10</v>
      </c>
      <c r="K300" s="295">
        <f>(I300+J300)*10%</f>
        <v>1</v>
      </c>
      <c r="L300" s="328">
        <f>D300-K300</f>
        <v>9</v>
      </c>
    </row>
    <row r="301" spans="1:12" s="357" customFormat="1" ht="30">
      <c r="A301" s="311">
        <v>24</v>
      </c>
      <c r="B301" s="288" t="s">
        <v>743</v>
      </c>
      <c r="C301" s="339"/>
      <c r="D301" s="445">
        <f>E301+I301+F301+J301</f>
        <v>2335.8830000000598</v>
      </c>
      <c r="E301" s="299">
        <f>2785.88300000006+50-500</f>
        <v>2335.8830000000598</v>
      </c>
      <c r="F301" s="299">
        <v>0</v>
      </c>
      <c r="G301" s="299">
        <v>0</v>
      </c>
      <c r="H301" s="299">
        <v>0</v>
      </c>
      <c r="I301" s="299">
        <v>0</v>
      </c>
      <c r="J301" s="299">
        <v>0</v>
      </c>
      <c r="K301" s="299">
        <v>0</v>
      </c>
      <c r="L301" s="299">
        <f>D301-K301</f>
        <v>2335.8830000000598</v>
      </c>
    </row>
    <row r="302" spans="1:12">
      <c r="A302" s="298" t="s">
        <v>218</v>
      </c>
      <c r="B302" s="342" t="s">
        <v>325</v>
      </c>
      <c r="C302" s="547">
        <f>C303+C308+C311+C312</f>
        <v>27</v>
      </c>
      <c r="D302" s="519">
        <f>D303+D308+D311+D312</f>
        <v>46272.853000000003</v>
      </c>
      <c r="E302" s="519">
        <f>E303+E308+E311+E312</f>
        <v>5102.8530000000001</v>
      </c>
      <c r="F302" s="519">
        <f t="shared" ref="F302:L302" si="113">F303+F308+F311+F312</f>
        <v>3249.2530000000002</v>
      </c>
      <c r="G302" s="519">
        <f t="shared" si="113"/>
        <v>676.01900000000001</v>
      </c>
      <c r="H302" s="519">
        <f t="shared" si="113"/>
        <v>1177.5809999999999</v>
      </c>
      <c r="I302" s="519">
        <f t="shared" si="113"/>
        <v>675</v>
      </c>
      <c r="J302" s="519">
        <f t="shared" si="113"/>
        <v>40495</v>
      </c>
      <c r="K302" s="519">
        <f t="shared" si="113"/>
        <v>118.5</v>
      </c>
      <c r="L302" s="519">
        <f t="shared" si="113"/>
        <v>46154.353000000003</v>
      </c>
    </row>
    <row r="303" spans="1:12" ht="48.85" customHeight="1">
      <c r="A303" s="298">
        <v>1</v>
      </c>
      <c r="B303" s="342" t="s">
        <v>228</v>
      </c>
      <c r="C303" s="341"/>
      <c r="D303" s="299">
        <f>SUM(D304:D307)</f>
        <v>38985</v>
      </c>
      <c r="E303" s="299">
        <f t="shared" ref="E303:I303" si="114">SUM(E304:E307)</f>
        <v>0</v>
      </c>
      <c r="F303" s="299">
        <f t="shared" si="114"/>
        <v>0</v>
      </c>
      <c r="G303" s="299">
        <f t="shared" si="114"/>
        <v>0</v>
      </c>
      <c r="H303" s="299">
        <f t="shared" si="114"/>
        <v>0</v>
      </c>
      <c r="I303" s="299">
        <f t="shared" si="114"/>
        <v>0</v>
      </c>
      <c r="J303" s="299">
        <f>SUM(J304:J307)</f>
        <v>38985</v>
      </c>
      <c r="K303" s="299">
        <f t="shared" ref="K303:L303" si="115">SUM(K304:K307)</f>
        <v>0</v>
      </c>
      <c r="L303" s="299">
        <f t="shared" si="115"/>
        <v>38985</v>
      </c>
    </row>
    <row r="304" spans="1:12" ht="30.75">
      <c r="A304" s="300" t="s">
        <v>102</v>
      </c>
      <c r="B304" s="343" t="s">
        <v>727</v>
      </c>
      <c r="C304" s="341"/>
      <c r="D304" s="382">
        <f>E304+I304+J304</f>
        <v>4717</v>
      </c>
      <c r="E304" s="295"/>
      <c r="F304" s="295"/>
      <c r="G304" s="295"/>
      <c r="H304" s="295"/>
      <c r="I304" s="295"/>
      <c r="J304" s="295">
        <v>4717</v>
      </c>
      <c r="K304" s="295"/>
      <c r="L304" s="295">
        <f>D304-K304</f>
        <v>4717</v>
      </c>
    </row>
    <row r="305" spans="1:12" ht="30.75">
      <c r="A305" s="300" t="s">
        <v>102</v>
      </c>
      <c r="B305" s="343" t="s">
        <v>728</v>
      </c>
      <c r="C305" s="341"/>
      <c r="D305" s="382">
        <f>E305+I305+J305</f>
        <v>382</v>
      </c>
      <c r="E305" s="295"/>
      <c r="F305" s="295"/>
      <c r="G305" s="295"/>
      <c r="H305" s="295"/>
      <c r="I305" s="295"/>
      <c r="J305" s="295">
        <v>382</v>
      </c>
      <c r="K305" s="295"/>
      <c r="L305" s="295">
        <f>D305-K305</f>
        <v>382</v>
      </c>
    </row>
    <row r="306" spans="1:12" ht="30.75">
      <c r="A306" s="300" t="s">
        <v>102</v>
      </c>
      <c r="B306" s="343" t="s">
        <v>729</v>
      </c>
      <c r="C306" s="341"/>
      <c r="D306" s="382">
        <f>E306+I306+J306</f>
        <v>22112</v>
      </c>
      <c r="E306" s="295"/>
      <c r="F306" s="295"/>
      <c r="G306" s="295"/>
      <c r="H306" s="295"/>
      <c r="I306" s="295"/>
      <c r="J306" s="295">
        <v>22112</v>
      </c>
      <c r="K306" s="295"/>
      <c r="L306" s="295">
        <f>D306-K306</f>
        <v>22112</v>
      </c>
    </row>
    <row r="307" spans="1:12" ht="30.75">
      <c r="A307" s="300" t="s">
        <v>102</v>
      </c>
      <c r="B307" s="343" t="s">
        <v>752</v>
      </c>
      <c r="C307" s="341"/>
      <c r="D307" s="382">
        <f>E307+I307+J307</f>
        <v>11774</v>
      </c>
      <c r="E307" s="295"/>
      <c r="F307" s="295"/>
      <c r="G307" s="295"/>
      <c r="H307" s="295"/>
      <c r="I307" s="295"/>
      <c r="J307" s="295">
        <v>11774</v>
      </c>
      <c r="K307" s="295"/>
      <c r="L307" s="295">
        <f>D307-K307</f>
        <v>11774</v>
      </c>
    </row>
    <row r="308" spans="1:12">
      <c r="A308" s="311">
        <v>2</v>
      </c>
      <c r="B308" s="288" t="s">
        <v>207</v>
      </c>
      <c r="C308" s="547">
        <v>27</v>
      </c>
      <c r="D308" s="299">
        <f t="shared" ref="D308:L308" si="116">SUM(D309:D310)</f>
        <v>5787.8530000000001</v>
      </c>
      <c r="E308" s="299">
        <f t="shared" si="116"/>
        <v>5102.8530000000001</v>
      </c>
      <c r="F308" s="299">
        <f t="shared" si="116"/>
        <v>3249.2530000000002</v>
      </c>
      <c r="G308" s="299">
        <f t="shared" si="116"/>
        <v>676.01900000000001</v>
      </c>
      <c r="H308" s="299">
        <f t="shared" si="116"/>
        <v>1177.5809999999999</v>
      </c>
      <c r="I308" s="299">
        <f t="shared" si="116"/>
        <v>675</v>
      </c>
      <c r="J308" s="299">
        <f t="shared" si="116"/>
        <v>10</v>
      </c>
      <c r="K308" s="299">
        <f t="shared" si="116"/>
        <v>68.5</v>
      </c>
      <c r="L308" s="299">
        <f t="shared" si="116"/>
        <v>5719.3530000000001</v>
      </c>
    </row>
    <row r="309" spans="1:12">
      <c r="A309" s="300" t="s">
        <v>102</v>
      </c>
      <c r="B309" s="292" t="s">
        <v>225</v>
      </c>
      <c r="C309" s="294">
        <v>27</v>
      </c>
      <c r="D309" s="382">
        <f>E309+I309+J309</f>
        <v>5777.8530000000001</v>
      </c>
      <c r="E309" s="295">
        <f>F309+G309+H309</f>
        <v>5102.8530000000001</v>
      </c>
      <c r="F309" s="328">
        <v>3249.2530000000002</v>
      </c>
      <c r="G309" s="328">
        <v>676.01900000000001</v>
      </c>
      <c r="H309" s="328">
        <v>1177.5809999999999</v>
      </c>
      <c r="I309" s="295">
        <f>C309*25</f>
        <v>675</v>
      </c>
      <c r="J309" s="295"/>
      <c r="K309" s="295">
        <f>(I309+J309)*10%</f>
        <v>67.5</v>
      </c>
      <c r="L309" s="295">
        <f>D309-K309</f>
        <v>5710.3530000000001</v>
      </c>
    </row>
    <row r="310" spans="1:12">
      <c r="A310" s="300" t="s">
        <v>102</v>
      </c>
      <c r="B310" s="292" t="s">
        <v>580</v>
      </c>
      <c r="C310" s="294"/>
      <c r="D310" s="382">
        <f>E310+I310+J310</f>
        <v>10</v>
      </c>
      <c r="E310" s="295"/>
      <c r="F310" s="295"/>
      <c r="G310" s="295"/>
      <c r="H310" s="295"/>
      <c r="I310" s="295"/>
      <c r="J310" s="295">
        <v>10</v>
      </c>
      <c r="K310" s="295">
        <f>(I310+J310)*10%</f>
        <v>1</v>
      </c>
      <c r="L310" s="295">
        <f>D310-K310</f>
        <v>9</v>
      </c>
    </row>
    <row r="311" spans="1:12" ht="15.4" customHeight="1">
      <c r="A311" s="311">
        <v>3</v>
      </c>
      <c r="B311" s="342" t="s">
        <v>787</v>
      </c>
      <c r="C311" s="341"/>
      <c r="D311" s="445">
        <f>E311+I311+J311</f>
        <v>1000</v>
      </c>
      <c r="E311" s="295"/>
      <c r="F311" s="295"/>
      <c r="G311" s="295"/>
      <c r="H311" s="295"/>
      <c r="I311" s="295"/>
      <c r="J311" s="299">
        <v>1000</v>
      </c>
      <c r="K311" s="295"/>
      <c r="L311" s="299">
        <f>D311-K311</f>
        <v>1000</v>
      </c>
    </row>
    <row r="312" spans="1:12" ht="31.9" customHeight="1">
      <c r="A312" s="311">
        <v>4</v>
      </c>
      <c r="B312" s="342" t="s">
        <v>887</v>
      </c>
      <c r="C312" s="341"/>
      <c r="D312" s="445">
        <f>E312+I312+J312</f>
        <v>500</v>
      </c>
      <c r="E312" s="295"/>
      <c r="F312" s="295"/>
      <c r="G312" s="295"/>
      <c r="H312" s="295"/>
      <c r="I312" s="295"/>
      <c r="J312" s="299">
        <v>500</v>
      </c>
      <c r="K312" s="295">
        <f>(I312+J312)*10%</f>
        <v>50</v>
      </c>
      <c r="L312" s="295">
        <f>D312-K312</f>
        <v>450</v>
      </c>
    </row>
    <row r="313" spans="1:12" ht="18" customHeight="1">
      <c r="A313" s="298" t="s">
        <v>87</v>
      </c>
      <c r="B313" s="312" t="s">
        <v>185</v>
      </c>
      <c r="C313" s="547">
        <f t="shared" ref="C313" si="117">C314+C319</f>
        <v>3</v>
      </c>
      <c r="D313" s="299">
        <f>D314+D319+D320</f>
        <v>2827.971</v>
      </c>
      <c r="E313" s="299">
        <f t="shared" ref="E313:L313" si="118">E314+E319+E320</f>
        <v>1872.971</v>
      </c>
      <c r="F313" s="299">
        <f t="shared" si="118"/>
        <v>323.971</v>
      </c>
      <c r="G313" s="299">
        <f t="shared" si="118"/>
        <v>162</v>
      </c>
      <c r="H313" s="299">
        <f t="shared" si="118"/>
        <v>1387</v>
      </c>
      <c r="I313" s="299">
        <f t="shared" si="118"/>
        <v>75</v>
      </c>
      <c r="J313" s="299">
        <f t="shared" si="118"/>
        <v>880</v>
      </c>
      <c r="K313" s="299">
        <f t="shared" si="118"/>
        <v>55.5</v>
      </c>
      <c r="L313" s="299">
        <f t="shared" si="118"/>
        <v>2772.471</v>
      </c>
    </row>
    <row r="314" spans="1:12">
      <c r="A314" s="298">
        <v>1</v>
      </c>
      <c r="B314" s="288" t="s">
        <v>268</v>
      </c>
      <c r="C314" s="547">
        <v>3</v>
      </c>
      <c r="D314" s="299">
        <f>SUM(D315:D318)</f>
        <v>1063.7860000000001</v>
      </c>
      <c r="E314" s="299">
        <f t="shared" ref="E314:L314" si="119">SUM(E315:E318)</f>
        <v>508.78600000000006</v>
      </c>
      <c r="F314" s="299">
        <f t="shared" si="119"/>
        <v>323.971</v>
      </c>
      <c r="G314" s="299">
        <f t="shared" ref="G314:H314" si="120">SUM(G315:G318)</f>
        <v>67.403000000000006</v>
      </c>
      <c r="H314" s="299">
        <f t="shared" si="120"/>
        <v>117.41200000000001</v>
      </c>
      <c r="I314" s="299">
        <f t="shared" si="119"/>
        <v>75</v>
      </c>
      <c r="J314" s="299">
        <f t="shared" si="119"/>
        <v>480</v>
      </c>
      <c r="K314" s="299">
        <f>SUM(K315:K318)</f>
        <v>15.5</v>
      </c>
      <c r="L314" s="299">
        <f t="shared" si="119"/>
        <v>1048.2860000000001</v>
      </c>
    </row>
    <row r="315" spans="1:12">
      <c r="A315" s="300" t="s">
        <v>102</v>
      </c>
      <c r="B315" s="292" t="s">
        <v>211</v>
      </c>
      <c r="C315" s="294">
        <v>3</v>
      </c>
      <c r="D315" s="382">
        <f t="shared" ref="D315:D320" si="121">E315+I315+J315</f>
        <v>583.78600000000006</v>
      </c>
      <c r="E315" s="295">
        <f>F315+G315+H315</f>
        <v>508.78600000000006</v>
      </c>
      <c r="F315" s="328">
        <v>323.971</v>
      </c>
      <c r="G315" s="328">
        <v>67.403000000000006</v>
      </c>
      <c r="H315" s="328">
        <v>117.41200000000001</v>
      </c>
      <c r="I315" s="295">
        <f>C315*25</f>
        <v>75</v>
      </c>
      <c r="J315" s="295"/>
      <c r="K315" s="295">
        <f>(I315+J315)*10%</f>
        <v>7.5</v>
      </c>
      <c r="L315" s="295">
        <f t="shared" ref="L315:L320" si="122">D315-K315</f>
        <v>576.28600000000006</v>
      </c>
    </row>
    <row r="316" spans="1:12">
      <c r="A316" s="300" t="s">
        <v>102</v>
      </c>
      <c r="B316" s="292" t="s">
        <v>662</v>
      </c>
      <c r="C316" s="294"/>
      <c r="D316" s="382">
        <f t="shared" si="121"/>
        <v>30</v>
      </c>
      <c r="E316" s="295"/>
      <c r="F316" s="295"/>
      <c r="G316" s="295"/>
      <c r="H316" s="295"/>
      <c r="I316" s="295"/>
      <c r="J316" s="295">
        <v>30</v>
      </c>
      <c r="K316" s="295">
        <f>(I316+J316)*10%</f>
        <v>3</v>
      </c>
      <c r="L316" s="295">
        <f t="shared" si="122"/>
        <v>27</v>
      </c>
    </row>
    <row r="317" spans="1:12" ht="16.5" customHeight="1">
      <c r="A317" s="300" t="s">
        <v>102</v>
      </c>
      <c r="B317" s="292" t="s">
        <v>663</v>
      </c>
      <c r="C317" s="294"/>
      <c r="D317" s="382">
        <f t="shared" si="121"/>
        <v>50</v>
      </c>
      <c r="E317" s="295"/>
      <c r="F317" s="295"/>
      <c r="G317" s="295"/>
      <c r="H317" s="295"/>
      <c r="I317" s="295"/>
      <c r="J317" s="295">
        <v>50</v>
      </c>
      <c r="K317" s="295">
        <f>(I317+J317)*10%</f>
        <v>5</v>
      </c>
      <c r="L317" s="295">
        <f t="shared" si="122"/>
        <v>45</v>
      </c>
    </row>
    <row r="318" spans="1:12" ht="22.25" customHeight="1">
      <c r="A318" s="300" t="s">
        <v>102</v>
      </c>
      <c r="B318" s="292" t="s">
        <v>640</v>
      </c>
      <c r="C318" s="294"/>
      <c r="D318" s="382">
        <f t="shared" si="121"/>
        <v>400</v>
      </c>
      <c r="E318" s="295"/>
      <c r="F318" s="295"/>
      <c r="G318" s="295"/>
      <c r="H318" s="295"/>
      <c r="I318" s="295"/>
      <c r="J318" s="295">
        <v>400</v>
      </c>
      <c r="K318" s="295"/>
      <c r="L318" s="295">
        <f t="shared" si="122"/>
        <v>400</v>
      </c>
    </row>
    <row r="319" spans="1:12">
      <c r="A319" s="298">
        <v>2</v>
      </c>
      <c r="B319" s="312" t="s">
        <v>186</v>
      </c>
      <c r="C319" s="294"/>
      <c r="D319" s="299">
        <f t="shared" si="121"/>
        <v>400</v>
      </c>
      <c r="E319" s="299"/>
      <c r="F319" s="299"/>
      <c r="G319" s="299"/>
      <c r="H319" s="299"/>
      <c r="I319" s="299"/>
      <c r="J319" s="299">
        <v>400</v>
      </c>
      <c r="K319" s="299">
        <f>J319*10%</f>
        <v>40</v>
      </c>
      <c r="L319" s="299">
        <f t="shared" si="122"/>
        <v>360</v>
      </c>
    </row>
    <row r="320" spans="1:12">
      <c r="A320" s="298">
        <v>3</v>
      </c>
      <c r="B320" s="288" t="s">
        <v>845</v>
      </c>
      <c r="C320" s="294"/>
      <c r="D320" s="445">
        <f t="shared" si="121"/>
        <v>1364.1849999999999</v>
      </c>
      <c r="E320" s="299">
        <f>F320+G320+H320</f>
        <v>1364.1849999999999</v>
      </c>
      <c r="F320" s="299"/>
      <c r="G320" s="299">
        <v>94.596999999999994</v>
      </c>
      <c r="H320" s="299">
        <v>1269.588</v>
      </c>
      <c r="I320" s="299"/>
      <c r="J320" s="299"/>
      <c r="K320" s="299"/>
      <c r="L320" s="299">
        <f t="shared" si="122"/>
        <v>1364.1849999999999</v>
      </c>
    </row>
    <row r="321" spans="1:12">
      <c r="A321" s="298" t="s">
        <v>109</v>
      </c>
      <c r="B321" s="312" t="s">
        <v>348</v>
      </c>
      <c r="C321" s="547">
        <f>SUM(C323:C330)</f>
        <v>3</v>
      </c>
      <c r="D321" s="299">
        <f>D322+D332</f>
        <v>2009.883</v>
      </c>
      <c r="E321" s="299">
        <f t="shared" ref="E321:L321" si="123">E322+E332</f>
        <v>438.88299999999998</v>
      </c>
      <c r="F321" s="299">
        <f t="shared" si="123"/>
        <v>279.45999999999998</v>
      </c>
      <c r="G321" s="299">
        <f t="shared" si="123"/>
        <v>58.142000000000003</v>
      </c>
      <c r="H321" s="299">
        <f t="shared" si="123"/>
        <v>101.28100000000001</v>
      </c>
      <c r="I321" s="299">
        <f t="shared" si="123"/>
        <v>161</v>
      </c>
      <c r="J321" s="299">
        <f t="shared" si="123"/>
        <v>1410</v>
      </c>
      <c r="K321" s="299">
        <f t="shared" si="123"/>
        <v>157.1</v>
      </c>
      <c r="L321" s="299">
        <f t="shared" si="123"/>
        <v>1852.7829999999999</v>
      </c>
    </row>
    <row r="322" spans="1:12">
      <c r="A322" s="298">
        <v>1</v>
      </c>
      <c r="B322" s="312" t="s">
        <v>349</v>
      </c>
      <c r="C322" s="547"/>
      <c r="D322" s="299">
        <f>SUM(D323:D331)</f>
        <v>1009.883</v>
      </c>
      <c r="E322" s="299">
        <f t="shared" ref="E322:L322" si="124">SUM(E323:E331)</f>
        <v>438.88299999999998</v>
      </c>
      <c r="F322" s="299">
        <f t="shared" si="124"/>
        <v>279.45999999999998</v>
      </c>
      <c r="G322" s="299">
        <f t="shared" si="124"/>
        <v>58.142000000000003</v>
      </c>
      <c r="H322" s="299">
        <f t="shared" si="124"/>
        <v>101.28100000000001</v>
      </c>
      <c r="I322" s="299">
        <f t="shared" si="124"/>
        <v>161</v>
      </c>
      <c r="J322" s="299">
        <f t="shared" si="124"/>
        <v>410</v>
      </c>
      <c r="K322" s="299">
        <f t="shared" si="124"/>
        <v>57.1</v>
      </c>
      <c r="L322" s="299">
        <f t="shared" si="124"/>
        <v>952.78300000000002</v>
      </c>
    </row>
    <row r="323" spans="1:12">
      <c r="A323" s="300" t="s">
        <v>102</v>
      </c>
      <c r="B323" s="292" t="s">
        <v>319</v>
      </c>
      <c r="C323" s="294">
        <v>3</v>
      </c>
      <c r="D323" s="382">
        <f t="shared" ref="D323:D333" si="125">E323+I323+J323</f>
        <v>599.88300000000004</v>
      </c>
      <c r="E323" s="295">
        <f>F323+G323+H323</f>
        <v>438.88299999999998</v>
      </c>
      <c r="F323" s="295">
        <v>279.45999999999998</v>
      </c>
      <c r="G323" s="295">
        <v>58.142000000000003</v>
      </c>
      <c r="H323" s="295">
        <v>101.28100000000001</v>
      </c>
      <c r="I323" s="295">
        <f>C323*27+80</f>
        <v>161</v>
      </c>
      <c r="J323" s="295"/>
      <c r="K323" s="295">
        <f t="shared" ref="K323:K341" si="126">(I323+J323)*10%</f>
        <v>16.100000000000001</v>
      </c>
      <c r="L323" s="295">
        <f t="shared" ref="L323:L331" si="127">D323-K323</f>
        <v>583.78300000000002</v>
      </c>
    </row>
    <row r="324" spans="1:12">
      <c r="A324" s="300" t="s">
        <v>102</v>
      </c>
      <c r="B324" s="292" t="s">
        <v>668</v>
      </c>
      <c r="C324" s="294"/>
      <c r="D324" s="382">
        <f t="shared" si="125"/>
        <v>50</v>
      </c>
      <c r="E324" s="295"/>
      <c r="F324" s="295"/>
      <c r="G324" s="295"/>
      <c r="H324" s="295"/>
      <c r="I324" s="295"/>
      <c r="J324" s="295">
        <v>50</v>
      </c>
      <c r="K324" s="295">
        <f t="shared" si="126"/>
        <v>5</v>
      </c>
      <c r="L324" s="295">
        <f t="shared" si="127"/>
        <v>45</v>
      </c>
    </row>
    <row r="325" spans="1:12" ht="30.75">
      <c r="A325" s="300" t="s">
        <v>102</v>
      </c>
      <c r="B325" s="292" t="s">
        <v>669</v>
      </c>
      <c r="C325" s="294"/>
      <c r="D325" s="382">
        <f t="shared" si="125"/>
        <v>50</v>
      </c>
      <c r="E325" s="295"/>
      <c r="F325" s="295"/>
      <c r="G325" s="295"/>
      <c r="H325" s="295"/>
      <c r="I325" s="295"/>
      <c r="J325" s="295">
        <v>50</v>
      </c>
      <c r="K325" s="295">
        <f t="shared" si="126"/>
        <v>5</v>
      </c>
      <c r="L325" s="295">
        <f t="shared" si="127"/>
        <v>45</v>
      </c>
    </row>
    <row r="326" spans="1:12" ht="30.75">
      <c r="A326" s="300" t="s">
        <v>102</v>
      </c>
      <c r="B326" s="301" t="s">
        <v>627</v>
      </c>
      <c r="C326" s="294"/>
      <c r="D326" s="382">
        <f t="shared" si="125"/>
        <v>40</v>
      </c>
      <c r="E326" s="295"/>
      <c r="F326" s="295"/>
      <c r="G326" s="295"/>
      <c r="H326" s="295"/>
      <c r="I326" s="295"/>
      <c r="J326" s="295">
        <v>40</v>
      </c>
      <c r="K326" s="295">
        <f t="shared" si="126"/>
        <v>4</v>
      </c>
      <c r="L326" s="295">
        <f t="shared" si="127"/>
        <v>36</v>
      </c>
    </row>
    <row r="327" spans="1:12" ht="30.75">
      <c r="A327" s="300" t="s">
        <v>102</v>
      </c>
      <c r="B327" s="549" t="s">
        <v>723</v>
      </c>
      <c r="C327" s="294"/>
      <c r="D327" s="382">
        <f t="shared" si="125"/>
        <v>50</v>
      </c>
      <c r="E327" s="295"/>
      <c r="F327" s="295"/>
      <c r="G327" s="295"/>
      <c r="H327" s="295"/>
      <c r="I327" s="295"/>
      <c r="J327" s="295">
        <v>50</v>
      </c>
      <c r="K327" s="295">
        <f t="shared" si="126"/>
        <v>5</v>
      </c>
      <c r="L327" s="295">
        <f t="shared" si="127"/>
        <v>45</v>
      </c>
    </row>
    <row r="328" spans="1:12" ht="35.35" customHeight="1">
      <c r="A328" s="300" t="s">
        <v>102</v>
      </c>
      <c r="B328" s="490" t="s">
        <v>760</v>
      </c>
      <c r="C328" s="294"/>
      <c r="D328" s="382">
        <f t="shared" si="125"/>
        <v>50</v>
      </c>
      <c r="E328" s="295"/>
      <c r="F328" s="295"/>
      <c r="G328" s="295"/>
      <c r="H328" s="295"/>
      <c r="I328" s="295"/>
      <c r="J328" s="295">
        <v>50</v>
      </c>
      <c r="K328" s="295">
        <f t="shared" si="126"/>
        <v>5</v>
      </c>
      <c r="L328" s="295">
        <f t="shared" si="127"/>
        <v>45</v>
      </c>
    </row>
    <row r="329" spans="1:12">
      <c r="A329" s="300" t="s">
        <v>102</v>
      </c>
      <c r="B329" s="301" t="s">
        <v>724</v>
      </c>
      <c r="C329" s="294"/>
      <c r="D329" s="382">
        <f t="shared" si="125"/>
        <v>50</v>
      </c>
      <c r="E329" s="295"/>
      <c r="F329" s="295"/>
      <c r="G329" s="295"/>
      <c r="H329" s="295"/>
      <c r="I329" s="295"/>
      <c r="J329" s="295">
        <v>50</v>
      </c>
      <c r="K329" s="295">
        <f t="shared" si="126"/>
        <v>5</v>
      </c>
      <c r="L329" s="295">
        <f t="shared" si="127"/>
        <v>45</v>
      </c>
    </row>
    <row r="330" spans="1:12" ht="61.5">
      <c r="A330" s="300" t="s">
        <v>102</v>
      </c>
      <c r="B330" s="301" t="s">
        <v>741</v>
      </c>
      <c r="C330" s="294"/>
      <c r="D330" s="382">
        <f t="shared" si="125"/>
        <v>50</v>
      </c>
      <c r="E330" s="295"/>
      <c r="F330" s="295"/>
      <c r="G330" s="295"/>
      <c r="H330" s="295"/>
      <c r="I330" s="295"/>
      <c r="J330" s="295">
        <v>50</v>
      </c>
      <c r="K330" s="295">
        <f t="shared" si="126"/>
        <v>5</v>
      </c>
      <c r="L330" s="295">
        <f t="shared" si="127"/>
        <v>45</v>
      </c>
    </row>
    <row r="331" spans="1:12" ht="30.75">
      <c r="A331" s="300" t="s">
        <v>102</v>
      </c>
      <c r="B331" s="301" t="s">
        <v>852</v>
      </c>
      <c r="C331" s="294"/>
      <c r="D331" s="382">
        <f t="shared" si="125"/>
        <v>70</v>
      </c>
      <c r="E331" s="295"/>
      <c r="F331" s="295"/>
      <c r="G331" s="295"/>
      <c r="H331" s="295"/>
      <c r="I331" s="295"/>
      <c r="J331" s="295">
        <v>70</v>
      </c>
      <c r="K331" s="295">
        <f t="shared" si="126"/>
        <v>7</v>
      </c>
      <c r="L331" s="295">
        <f t="shared" si="127"/>
        <v>63</v>
      </c>
    </row>
    <row r="332" spans="1:12" s="357" customFormat="1" ht="15">
      <c r="A332" s="311">
        <v>2</v>
      </c>
      <c r="B332" s="312" t="s">
        <v>575</v>
      </c>
      <c r="C332" s="547"/>
      <c r="D332" s="445">
        <f>D333</f>
        <v>1000</v>
      </c>
      <c r="E332" s="445">
        <f t="shared" ref="E332:L332" si="128">E333</f>
        <v>0</v>
      </c>
      <c r="F332" s="445">
        <f t="shared" si="128"/>
        <v>0</v>
      </c>
      <c r="G332" s="445">
        <f t="shared" si="128"/>
        <v>0</v>
      </c>
      <c r="H332" s="445">
        <f t="shared" si="128"/>
        <v>0</v>
      </c>
      <c r="I332" s="445">
        <f t="shared" si="128"/>
        <v>0</v>
      </c>
      <c r="J332" s="445">
        <f t="shared" si="128"/>
        <v>1000</v>
      </c>
      <c r="K332" s="445">
        <f t="shared" si="128"/>
        <v>100</v>
      </c>
      <c r="L332" s="445">
        <f t="shared" si="128"/>
        <v>900</v>
      </c>
    </row>
    <row r="333" spans="1:12" ht="30.75">
      <c r="A333" s="300" t="s">
        <v>102</v>
      </c>
      <c r="B333" s="301" t="s">
        <v>873</v>
      </c>
      <c r="C333" s="294"/>
      <c r="D333" s="382">
        <f t="shared" si="125"/>
        <v>1000</v>
      </c>
      <c r="E333" s="295"/>
      <c r="F333" s="295"/>
      <c r="G333" s="295"/>
      <c r="H333" s="295"/>
      <c r="I333" s="295"/>
      <c r="J333" s="295">
        <v>1000</v>
      </c>
      <c r="K333" s="295">
        <f t="shared" ref="K333" si="129">(I333+J333)*10%</f>
        <v>100</v>
      </c>
      <c r="L333" s="295">
        <f t="shared" ref="L333" si="130">D333-K333</f>
        <v>900</v>
      </c>
    </row>
    <row r="334" spans="1:12" s="357" customFormat="1" ht="15">
      <c r="A334" s="298" t="s">
        <v>111</v>
      </c>
      <c r="B334" s="312" t="s">
        <v>318</v>
      </c>
      <c r="C334" s="547"/>
      <c r="D334" s="299">
        <f t="shared" ref="D334:L334" si="131">SUM(D335:D336)</f>
        <v>150</v>
      </c>
      <c r="E334" s="299">
        <f t="shared" si="131"/>
        <v>0</v>
      </c>
      <c r="F334" s="299">
        <f t="shared" si="131"/>
        <v>0</v>
      </c>
      <c r="G334" s="299">
        <f t="shared" si="131"/>
        <v>0</v>
      </c>
      <c r="H334" s="299">
        <f t="shared" si="131"/>
        <v>0</v>
      </c>
      <c r="I334" s="299">
        <f t="shared" si="131"/>
        <v>0</v>
      </c>
      <c r="J334" s="299">
        <f t="shared" si="131"/>
        <v>150</v>
      </c>
      <c r="K334" s="299">
        <f t="shared" si="131"/>
        <v>15</v>
      </c>
      <c r="L334" s="299">
        <f t="shared" si="131"/>
        <v>135</v>
      </c>
    </row>
    <row r="335" spans="1:12" ht="46.15">
      <c r="A335" s="300" t="s">
        <v>102</v>
      </c>
      <c r="B335" s="292" t="s">
        <v>642</v>
      </c>
      <c r="C335" s="294"/>
      <c r="D335" s="382">
        <f>E335+I335+J335</f>
        <v>100</v>
      </c>
      <c r="E335" s="295"/>
      <c r="F335" s="295"/>
      <c r="G335" s="295"/>
      <c r="H335" s="295"/>
      <c r="I335" s="295"/>
      <c r="J335" s="295">
        <v>100</v>
      </c>
      <c r="K335" s="295">
        <f t="shared" si="126"/>
        <v>10</v>
      </c>
      <c r="L335" s="295">
        <f>D335-K335</f>
        <v>90</v>
      </c>
    </row>
    <row r="336" spans="1:12" ht="30.4" customHeight="1">
      <c r="A336" s="300" t="s">
        <v>102</v>
      </c>
      <c r="B336" s="292" t="s">
        <v>641</v>
      </c>
      <c r="C336" s="294"/>
      <c r="D336" s="382">
        <f>E336+I336+J336</f>
        <v>50</v>
      </c>
      <c r="E336" s="295"/>
      <c r="F336" s="295"/>
      <c r="G336" s="295"/>
      <c r="H336" s="295"/>
      <c r="I336" s="295"/>
      <c r="J336" s="295">
        <v>50</v>
      </c>
      <c r="K336" s="295">
        <f t="shared" si="126"/>
        <v>5</v>
      </c>
      <c r="L336" s="295">
        <f>D336-K336</f>
        <v>45</v>
      </c>
    </row>
    <row r="337" spans="1:12">
      <c r="A337" s="298" t="s">
        <v>112</v>
      </c>
      <c r="B337" s="312" t="s">
        <v>63</v>
      </c>
      <c r="C337" s="547">
        <f>C338</f>
        <v>10</v>
      </c>
      <c r="D337" s="299">
        <f t="shared" ref="D337:L337" si="132">SUM(D338:D341)</f>
        <v>1890.0590000000002</v>
      </c>
      <c r="E337" s="299">
        <f t="shared" si="132"/>
        <v>1440.0590000000002</v>
      </c>
      <c r="F337" s="299">
        <f t="shared" si="132"/>
        <v>916.96100000000001</v>
      </c>
      <c r="G337" s="299">
        <f t="shared" si="132"/>
        <v>190.77699999999999</v>
      </c>
      <c r="H337" s="299">
        <f t="shared" si="132"/>
        <v>332.32100000000003</v>
      </c>
      <c r="I337" s="299">
        <f t="shared" si="132"/>
        <v>270</v>
      </c>
      <c r="J337" s="299">
        <f t="shared" si="132"/>
        <v>180</v>
      </c>
      <c r="K337" s="299">
        <f t="shared" si="132"/>
        <v>45</v>
      </c>
      <c r="L337" s="299">
        <f t="shared" si="132"/>
        <v>1845.0590000000002</v>
      </c>
    </row>
    <row r="338" spans="1:12">
      <c r="A338" s="311" t="s">
        <v>102</v>
      </c>
      <c r="B338" s="292" t="s">
        <v>319</v>
      </c>
      <c r="C338" s="294">
        <v>10</v>
      </c>
      <c r="D338" s="382">
        <f>E338+I338+J338</f>
        <v>1710.0590000000002</v>
      </c>
      <c r="E338" s="295">
        <f>F338+G338+H338</f>
        <v>1440.0590000000002</v>
      </c>
      <c r="F338" s="295">
        <v>916.96100000000001</v>
      </c>
      <c r="G338" s="295">
        <v>190.77699999999999</v>
      </c>
      <c r="H338" s="295">
        <v>332.32100000000003</v>
      </c>
      <c r="I338" s="295">
        <f>C338*27</f>
        <v>270</v>
      </c>
      <c r="J338" s="295"/>
      <c r="K338" s="295">
        <f t="shared" si="126"/>
        <v>27</v>
      </c>
      <c r="L338" s="295">
        <f>D338-K338</f>
        <v>1683.0590000000002</v>
      </c>
    </row>
    <row r="339" spans="1:12" ht="30.75">
      <c r="A339" s="311" t="s">
        <v>102</v>
      </c>
      <c r="B339" s="292" t="s">
        <v>628</v>
      </c>
      <c r="C339" s="294"/>
      <c r="D339" s="382">
        <f>E339+I339+J339</f>
        <v>70</v>
      </c>
      <c r="E339" s="295"/>
      <c r="F339" s="295"/>
      <c r="G339" s="295"/>
      <c r="H339" s="295"/>
      <c r="I339" s="295"/>
      <c r="J339" s="295">
        <v>70</v>
      </c>
      <c r="K339" s="295">
        <f t="shared" si="126"/>
        <v>7</v>
      </c>
      <c r="L339" s="295">
        <f>D339-K339</f>
        <v>63</v>
      </c>
    </row>
    <row r="340" spans="1:12">
      <c r="A340" s="311" t="s">
        <v>102</v>
      </c>
      <c r="B340" s="292" t="s">
        <v>644</v>
      </c>
      <c r="C340" s="294"/>
      <c r="D340" s="382">
        <f>E340+I340+J340</f>
        <v>60</v>
      </c>
      <c r="E340" s="295"/>
      <c r="F340" s="295"/>
      <c r="G340" s="295"/>
      <c r="H340" s="295"/>
      <c r="I340" s="295"/>
      <c r="J340" s="295">
        <v>60</v>
      </c>
      <c r="K340" s="295">
        <f t="shared" si="126"/>
        <v>6</v>
      </c>
      <c r="L340" s="295">
        <f>D340-K340</f>
        <v>54</v>
      </c>
    </row>
    <row r="341" spans="1:12" ht="30.75">
      <c r="A341" s="311" t="s">
        <v>102</v>
      </c>
      <c r="B341" s="292" t="s">
        <v>643</v>
      </c>
      <c r="C341" s="294"/>
      <c r="D341" s="382">
        <f>E341+I341+J341</f>
        <v>50</v>
      </c>
      <c r="E341" s="295"/>
      <c r="F341" s="295"/>
      <c r="G341" s="295"/>
      <c r="H341" s="295"/>
      <c r="I341" s="295"/>
      <c r="J341" s="295">
        <v>50</v>
      </c>
      <c r="K341" s="295">
        <f t="shared" si="126"/>
        <v>5</v>
      </c>
      <c r="L341" s="295">
        <f>D341-K341</f>
        <v>45</v>
      </c>
    </row>
    <row r="342" spans="1:12" s="357" customFormat="1" ht="25.5" customHeight="1">
      <c r="A342" s="311" t="s">
        <v>187</v>
      </c>
      <c r="B342" s="288" t="s">
        <v>589</v>
      </c>
      <c r="C342" s="547"/>
      <c r="D342" s="299">
        <f t="shared" ref="D342:L342" si="133">D343+D346</f>
        <v>80</v>
      </c>
      <c r="E342" s="299">
        <f t="shared" si="133"/>
        <v>0</v>
      </c>
      <c r="F342" s="299">
        <f t="shared" si="133"/>
        <v>0</v>
      </c>
      <c r="G342" s="299">
        <f t="shared" si="133"/>
        <v>0</v>
      </c>
      <c r="H342" s="299">
        <f t="shared" si="133"/>
        <v>0</v>
      </c>
      <c r="I342" s="299">
        <f t="shared" si="133"/>
        <v>0</v>
      </c>
      <c r="J342" s="299">
        <f t="shared" si="133"/>
        <v>80</v>
      </c>
      <c r="K342" s="299">
        <f t="shared" si="133"/>
        <v>0</v>
      </c>
      <c r="L342" s="299">
        <f t="shared" si="133"/>
        <v>80</v>
      </c>
    </row>
    <row r="343" spans="1:12" s="357" customFormat="1" ht="25.5" customHeight="1">
      <c r="A343" s="311">
        <v>1</v>
      </c>
      <c r="B343" s="288" t="s">
        <v>80</v>
      </c>
      <c r="C343" s="547"/>
      <c r="D343" s="299">
        <f t="shared" ref="D343:L343" si="134">SUM(D344:D345)</f>
        <v>10</v>
      </c>
      <c r="E343" s="299">
        <f t="shared" si="134"/>
        <v>0</v>
      </c>
      <c r="F343" s="299">
        <f t="shared" si="134"/>
        <v>0</v>
      </c>
      <c r="G343" s="299">
        <f t="shared" si="134"/>
        <v>0</v>
      </c>
      <c r="H343" s="299">
        <f t="shared" si="134"/>
        <v>0</v>
      </c>
      <c r="I343" s="299">
        <f t="shared" si="134"/>
        <v>0</v>
      </c>
      <c r="J343" s="299">
        <f t="shared" si="134"/>
        <v>10</v>
      </c>
      <c r="K343" s="299">
        <f t="shared" si="134"/>
        <v>0</v>
      </c>
      <c r="L343" s="299">
        <f t="shared" si="134"/>
        <v>10</v>
      </c>
    </row>
    <row r="344" spans="1:12" ht="26.25" customHeight="1">
      <c r="A344" s="300" t="s">
        <v>102</v>
      </c>
      <c r="B344" s="292" t="s">
        <v>352</v>
      </c>
      <c r="C344" s="294"/>
      <c r="D344" s="382">
        <f>E344+I344+J344</f>
        <v>10</v>
      </c>
      <c r="E344" s="295"/>
      <c r="F344" s="295"/>
      <c r="G344" s="295"/>
      <c r="H344" s="295"/>
      <c r="I344" s="295"/>
      <c r="J344" s="295">
        <v>10</v>
      </c>
      <c r="K344" s="295"/>
      <c r="L344" s="295">
        <f>D344-K344</f>
        <v>10</v>
      </c>
    </row>
    <row r="345" spans="1:12" ht="30.75" hidden="1" customHeight="1">
      <c r="A345" s="300" t="s">
        <v>102</v>
      </c>
      <c r="B345" s="292" t="s">
        <v>353</v>
      </c>
      <c r="C345" s="294"/>
      <c r="D345" s="295">
        <f>E345+I345+J345</f>
        <v>0</v>
      </c>
      <c r="E345" s="295"/>
      <c r="F345" s="295"/>
      <c r="G345" s="295"/>
      <c r="H345" s="295"/>
      <c r="I345" s="295"/>
      <c r="J345" s="295">
        <v>0</v>
      </c>
      <c r="K345" s="295"/>
      <c r="L345" s="295">
        <f>D345-K345</f>
        <v>0</v>
      </c>
    </row>
    <row r="346" spans="1:12" s="357" customFormat="1" ht="30">
      <c r="A346" s="311">
        <v>2</v>
      </c>
      <c r="B346" s="288" t="s">
        <v>780</v>
      </c>
      <c r="C346" s="547"/>
      <c r="D346" s="445">
        <f>E346+I346+F346+J346</f>
        <v>70</v>
      </c>
      <c r="E346" s="299"/>
      <c r="F346" s="299"/>
      <c r="G346" s="299"/>
      <c r="H346" s="299"/>
      <c r="I346" s="299"/>
      <c r="J346" s="299">
        <v>70</v>
      </c>
      <c r="K346" s="299"/>
      <c r="L346" s="299">
        <f>D346-K346</f>
        <v>70</v>
      </c>
    </row>
    <row r="347" spans="1:12">
      <c r="A347" s="298" t="s">
        <v>188</v>
      </c>
      <c r="B347" s="312" t="s">
        <v>367</v>
      </c>
      <c r="C347" s="547"/>
      <c r="D347" s="299">
        <f>D348</f>
        <v>13890</v>
      </c>
      <c r="E347" s="299">
        <f t="shared" ref="E347:L347" si="135">E348</f>
        <v>0</v>
      </c>
      <c r="F347" s="299">
        <f t="shared" si="135"/>
        <v>0</v>
      </c>
      <c r="G347" s="299">
        <f t="shared" si="135"/>
        <v>0</v>
      </c>
      <c r="H347" s="299">
        <f t="shared" si="135"/>
        <v>0</v>
      </c>
      <c r="I347" s="299">
        <f t="shared" si="135"/>
        <v>0</v>
      </c>
      <c r="J347" s="299">
        <f t="shared" si="135"/>
        <v>13890</v>
      </c>
      <c r="K347" s="299">
        <f t="shared" si="135"/>
        <v>0</v>
      </c>
      <c r="L347" s="299">
        <f t="shared" si="135"/>
        <v>13890</v>
      </c>
    </row>
    <row r="348" spans="1:12" ht="22.9" customHeight="1">
      <c r="A348" s="298">
        <v>1</v>
      </c>
      <c r="B348" s="312" t="s">
        <v>355</v>
      </c>
      <c r="C348" s="547"/>
      <c r="D348" s="299">
        <f>SUM(D349:D354)</f>
        <v>13890</v>
      </c>
      <c r="E348" s="299">
        <f t="shared" ref="E348:L348" si="136">SUM(E349:E354)</f>
        <v>0</v>
      </c>
      <c r="F348" s="299">
        <f t="shared" si="136"/>
        <v>0</v>
      </c>
      <c r="G348" s="299">
        <f t="shared" ref="G348:H348" si="137">SUM(G349:G354)</f>
        <v>0</v>
      </c>
      <c r="H348" s="299">
        <f t="shared" si="137"/>
        <v>0</v>
      </c>
      <c r="I348" s="299">
        <f t="shared" si="136"/>
        <v>0</v>
      </c>
      <c r="J348" s="299">
        <f t="shared" si="136"/>
        <v>13890</v>
      </c>
      <c r="K348" s="299">
        <f t="shared" si="136"/>
        <v>0</v>
      </c>
      <c r="L348" s="299">
        <f t="shared" si="136"/>
        <v>13890</v>
      </c>
    </row>
    <row r="349" spans="1:12">
      <c r="A349" s="300" t="s">
        <v>102</v>
      </c>
      <c r="B349" s="292" t="s">
        <v>122</v>
      </c>
      <c r="C349" s="294"/>
      <c r="D349" s="382">
        <f t="shared" ref="D349:D354" si="138">E349+I349+J349</f>
        <v>10385</v>
      </c>
      <c r="E349" s="295"/>
      <c r="F349" s="295"/>
      <c r="G349" s="295"/>
      <c r="H349" s="295"/>
      <c r="I349" s="295"/>
      <c r="J349" s="295">
        <f>7787+1299+1299</f>
        <v>10385</v>
      </c>
      <c r="K349" s="295"/>
      <c r="L349" s="295">
        <f t="shared" ref="L349:L354" si="139">D349-K349</f>
        <v>10385</v>
      </c>
    </row>
    <row r="350" spans="1:12" ht="30.75">
      <c r="A350" s="300" t="s">
        <v>102</v>
      </c>
      <c r="B350" s="292" t="s">
        <v>629</v>
      </c>
      <c r="C350" s="294"/>
      <c r="D350" s="382">
        <f t="shared" si="138"/>
        <v>2537</v>
      </c>
      <c r="E350" s="295"/>
      <c r="F350" s="295"/>
      <c r="G350" s="295"/>
      <c r="H350" s="295"/>
      <c r="I350" s="295"/>
      <c r="J350" s="295">
        <f>1631+453+453</f>
        <v>2537</v>
      </c>
      <c r="K350" s="295"/>
      <c r="L350" s="295">
        <f t="shared" si="139"/>
        <v>2537</v>
      </c>
    </row>
    <row r="351" spans="1:12" ht="37.15" customHeight="1">
      <c r="A351" s="300" t="s">
        <v>102</v>
      </c>
      <c r="B351" s="292" t="s">
        <v>354</v>
      </c>
      <c r="C351" s="294"/>
      <c r="D351" s="382">
        <f t="shared" si="138"/>
        <v>121</v>
      </c>
      <c r="E351" s="295"/>
      <c r="F351" s="295"/>
      <c r="G351" s="295"/>
      <c r="H351" s="295"/>
      <c r="I351" s="295"/>
      <c r="J351" s="295">
        <v>121</v>
      </c>
      <c r="K351" s="295"/>
      <c r="L351" s="295">
        <f t="shared" si="139"/>
        <v>121</v>
      </c>
    </row>
    <row r="352" spans="1:12" ht="24.4" customHeight="1">
      <c r="A352" s="300" t="s">
        <v>102</v>
      </c>
      <c r="B352" s="292" t="s">
        <v>334</v>
      </c>
      <c r="C352" s="294"/>
      <c r="D352" s="382">
        <f t="shared" si="138"/>
        <v>508</v>
      </c>
      <c r="E352" s="295"/>
      <c r="F352" s="295"/>
      <c r="G352" s="295"/>
      <c r="H352" s="295"/>
      <c r="I352" s="295"/>
      <c r="J352" s="295">
        <v>508</v>
      </c>
      <c r="K352" s="295"/>
      <c r="L352" s="295">
        <f t="shared" si="139"/>
        <v>508</v>
      </c>
    </row>
    <row r="353" spans="1:12" ht="46.15">
      <c r="A353" s="300" t="s">
        <v>102</v>
      </c>
      <c r="B353" s="292" t="s">
        <v>572</v>
      </c>
      <c r="C353" s="294"/>
      <c r="D353" s="382">
        <f t="shared" si="138"/>
        <v>39</v>
      </c>
      <c r="E353" s="295"/>
      <c r="F353" s="295"/>
      <c r="G353" s="295"/>
      <c r="H353" s="295"/>
      <c r="I353" s="295"/>
      <c r="J353" s="295">
        <v>39</v>
      </c>
      <c r="K353" s="295"/>
      <c r="L353" s="295">
        <f t="shared" si="139"/>
        <v>39</v>
      </c>
    </row>
    <row r="354" spans="1:12" ht="33.75" customHeight="1">
      <c r="A354" s="300" t="s">
        <v>102</v>
      </c>
      <c r="B354" s="292" t="s">
        <v>356</v>
      </c>
      <c r="C354" s="294"/>
      <c r="D354" s="382">
        <f t="shared" si="138"/>
        <v>300</v>
      </c>
      <c r="E354" s="295"/>
      <c r="F354" s="295"/>
      <c r="G354" s="295"/>
      <c r="H354" s="295"/>
      <c r="I354" s="295"/>
      <c r="J354" s="295">
        <v>300</v>
      </c>
      <c r="K354" s="295"/>
      <c r="L354" s="295">
        <f t="shared" si="139"/>
        <v>300</v>
      </c>
    </row>
    <row r="355" spans="1:12">
      <c r="A355" s="298" t="s">
        <v>192</v>
      </c>
      <c r="B355" s="321" t="s">
        <v>189</v>
      </c>
      <c r="C355" s="322"/>
      <c r="D355" s="299">
        <f>D356+D368+D371</f>
        <v>8853.1980000000003</v>
      </c>
      <c r="E355" s="299">
        <f t="shared" ref="E355:L355" si="140">E356+E368+E371</f>
        <v>935.63300000000004</v>
      </c>
      <c r="F355" s="299">
        <f t="shared" si="140"/>
        <v>595.76700000000005</v>
      </c>
      <c r="G355" s="299">
        <f t="shared" ref="G355:H355" si="141">G356+G368+G371</f>
        <v>123.95099999999999</v>
      </c>
      <c r="H355" s="299">
        <f t="shared" si="141"/>
        <v>215.91499999999999</v>
      </c>
      <c r="I355" s="299">
        <f t="shared" si="140"/>
        <v>162</v>
      </c>
      <c r="J355" s="299">
        <f t="shared" si="140"/>
        <v>7755.5650000000005</v>
      </c>
      <c r="K355" s="299">
        <f>K356+K368+K371</f>
        <v>365.2</v>
      </c>
      <c r="L355" s="299">
        <f t="shared" si="140"/>
        <v>8487.9979999999996</v>
      </c>
    </row>
    <row r="356" spans="1:12">
      <c r="A356" s="298" t="s">
        <v>86</v>
      </c>
      <c r="B356" s="321" t="s">
        <v>190</v>
      </c>
      <c r="C356" s="322"/>
      <c r="D356" s="299">
        <f>D357+D364+D367</f>
        <v>2958.1980000000003</v>
      </c>
      <c r="E356" s="299">
        <f t="shared" ref="E356:F356" si="142">E357+E364+E367</f>
        <v>935.63300000000004</v>
      </c>
      <c r="F356" s="299">
        <f t="shared" si="142"/>
        <v>595.76700000000005</v>
      </c>
      <c r="G356" s="299">
        <f t="shared" ref="G356:H356" si="143">G357+G364+G367</f>
        <v>123.95099999999999</v>
      </c>
      <c r="H356" s="299">
        <f t="shared" si="143"/>
        <v>215.91499999999999</v>
      </c>
      <c r="I356" s="299">
        <f t="shared" ref="I356:L356" si="144">I357+I364+I367</f>
        <v>162</v>
      </c>
      <c r="J356" s="299">
        <f t="shared" si="144"/>
        <v>1860.5650000000001</v>
      </c>
      <c r="K356" s="299">
        <f>K357+K364+K367</f>
        <v>62.2</v>
      </c>
      <c r="L356" s="299">
        <f t="shared" si="144"/>
        <v>2895.998</v>
      </c>
    </row>
    <row r="357" spans="1:12">
      <c r="A357" s="298">
        <v>1</v>
      </c>
      <c r="B357" s="323" t="s">
        <v>23</v>
      </c>
      <c r="C357" s="547">
        <v>6</v>
      </c>
      <c r="D357" s="299">
        <f>SUM(D358:D363)</f>
        <v>1777.633</v>
      </c>
      <c r="E357" s="299">
        <f t="shared" ref="E357:L357" si="145">SUM(E358:E363)</f>
        <v>935.63300000000004</v>
      </c>
      <c r="F357" s="299">
        <f t="shared" si="145"/>
        <v>595.76700000000005</v>
      </c>
      <c r="G357" s="299">
        <f t="shared" si="145"/>
        <v>123.95099999999999</v>
      </c>
      <c r="H357" s="299">
        <f t="shared" si="145"/>
        <v>215.91499999999999</v>
      </c>
      <c r="I357" s="299">
        <f t="shared" si="145"/>
        <v>162</v>
      </c>
      <c r="J357" s="299">
        <f t="shared" si="145"/>
        <v>680</v>
      </c>
      <c r="K357" s="299">
        <f t="shared" si="145"/>
        <v>62.2</v>
      </c>
      <c r="L357" s="299">
        <f t="shared" si="145"/>
        <v>1715.433</v>
      </c>
    </row>
    <row r="358" spans="1:12">
      <c r="A358" s="300" t="s">
        <v>102</v>
      </c>
      <c r="B358" s="292" t="s">
        <v>211</v>
      </c>
      <c r="C358" s="294">
        <v>6</v>
      </c>
      <c r="D358" s="382">
        <f t="shared" ref="D358:D363" si="146">E358+I358+J358</f>
        <v>1097.633</v>
      </c>
      <c r="E358" s="295">
        <f>F358+G358+H358</f>
        <v>935.63300000000004</v>
      </c>
      <c r="F358" s="295">
        <v>595.76700000000005</v>
      </c>
      <c r="G358" s="295">
        <v>123.95099999999999</v>
      </c>
      <c r="H358" s="295">
        <v>215.91499999999999</v>
      </c>
      <c r="I358" s="295">
        <f>C358*27</f>
        <v>162</v>
      </c>
      <c r="J358" s="295"/>
      <c r="K358" s="295">
        <f>(I358+J358)*10%</f>
        <v>16.2</v>
      </c>
      <c r="L358" s="295">
        <f t="shared" ref="L358:L363" si="147">D358-K358</f>
        <v>1081.433</v>
      </c>
    </row>
    <row r="359" spans="1:12" ht="30.75">
      <c r="A359" s="300" t="s">
        <v>102</v>
      </c>
      <c r="B359" s="292" t="s">
        <v>645</v>
      </c>
      <c r="C359" s="294"/>
      <c r="D359" s="382">
        <f t="shared" si="146"/>
        <v>50</v>
      </c>
      <c r="E359" s="295"/>
      <c r="F359" s="295"/>
      <c r="G359" s="295"/>
      <c r="H359" s="295"/>
      <c r="I359" s="295"/>
      <c r="J359" s="295">
        <v>50</v>
      </c>
      <c r="K359" s="295">
        <f>(I359+J359)*10%</f>
        <v>5</v>
      </c>
      <c r="L359" s="295">
        <f t="shared" si="147"/>
        <v>45</v>
      </c>
    </row>
    <row r="360" spans="1:12">
      <c r="A360" s="300" t="s">
        <v>102</v>
      </c>
      <c r="B360" s="292" t="s">
        <v>646</v>
      </c>
      <c r="C360" s="294"/>
      <c r="D360" s="382">
        <f t="shared" si="146"/>
        <v>100</v>
      </c>
      <c r="E360" s="295"/>
      <c r="F360" s="295"/>
      <c r="G360" s="295"/>
      <c r="H360" s="295"/>
      <c r="I360" s="295"/>
      <c r="J360" s="295">
        <v>100</v>
      </c>
      <c r="K360" s="295">
        <f>(I360+J360)*10%</f>
        <v>10</v>
      </c>
      <c r="L360" s="295">
        <f t="shared" si="147"/>
        <v>90</v>
      </c>
    </row>
    <row r="361" spans="1:12">
      <c r="A361" s="300" t="s">
        <v>102</v>
      </c>
      <c r="B361" s="324" t="s">
        <v>341</v>
      </c>
      <c r="C361" s="294"/>
      <c r="D361" s="382">
        <f t="shared" si="146"/>
        <v>50</v>
      </c>
      <c r="E361" s="295"/>
      <c r="F361" s="295"/>
      <c r="G361" s="295"/>
      <c r="H361" s="295"/>
      <c r="I361" s="295"/>
      <c r="J361" s="295">
        <v>50</v>
      </c>
      <c r="K361" s="295">
        <f>(I361+J361)*10%</f>
        <v>5</v>
      </c>
      <c r="L361" s="295">
        <f t="shared" si="147"/>
        <v>45</v>
      </c>
    </row>
    <row r="362" spans="1:12" s="357" customFormat="1" ht="30.75">
      <c r="A362" s="300" t="s">
        <v>102</v>
      </c>
      <c r="B362" s="292" t="s">
        <v>342</v>
      </c>
      <c r="C362" s="294"/>
      <c r="D362" s="382">
        <f t="shared" si="146"/>
        <v>180</v>
      </c>
      <c r="E362" s="295"/>
      <c r="F362" s="295"/>
      <c r="G362" s="295"/>
      <c r="H362" s="295"/>
      <c r="I362" s="295"/>
      <c r="J362" s="295">
        <v>180</v>
      </c>
      <c r="K362" s="295">
        <v>13</v>
      </c>
      <c r="L362" s="295">
        <f t="shared" si="147"/>
        <v>167</v>
      </c>
    </row>
    <row r="363" spans="1:12" s="357" customFormat="1" ht="30.75">
      <c r="A363" s="300" t="s">
        <v>102</v>
      </c>
      <c r="B363" s="292" t="s">
        <v>870</v>
      </c>
      <c r="C363" s="294"/>
      <c r="D363" s="382">
        <f t="shared" si="146"/>
        <v>300</v>
      </c>
      <c r="E363" s="295"/>
      <c r="F363" s="295"/>
      <c r="G363" s="295"/>
      <c r="H363" s="295"/>
      <c r="I363" s="295"/>
      <c r="J363" s="295">
        <v>300</v>
      </c>
      <c r="K363" s="295">
        <v>13</v>
      </c>
      <c r="L363" s="295">
        <f t="shared" si="147"/>
        <v>287</v>
      </c>
    </row>
    <row r="364" spans="1:12">
      <c r="A364" s="298">
        <v>2</v>
      </c>
      <c r="B364" s="288" t="s">
        <v>212</v>
      </c>
      <c r="C364" s="547"/>
      <c r="D364" s="299">
        <f t="shared" ref="D364:L364" si="148">SUM(D365:D366)</f>
        <v>1140.5650000000001</v>
      </c>
      <c r="E364" s="299">
        <f t="shared" si="148"/>
        <v>0</v>
      </c>
      <c r="F364" s="299">
        <f t="shared" si="148"/>
        <v>0</v>
      </c>
      <c r="G364" s="299">
        <f t="shared" si="148"/>
        <v>0</v>
      </c>
      <c r="H364" s="299">
        <f t="shared" si="148"/>
        <v>0</v>
      </c>
      <c r="I364" s="299">
        <f t="shared" si="148"/>
        <v>0</v>
      </c>
      <c r="J364" s="299">
        <f t="shared" si="148"/>
        <v>1140.5650000000001</v>
      </c>
      <c r="K364" s="299">
        <f>SUM(K365:K366)</f>
        <v>0</v>
      </c>
      <c r="L364" s="299">
        <f t="shared" si="148"/>
        <v>1140.5650000000001</v>
      </c>
    </row>
    <row r="365" spans="1:12">
      <c r="A365" s="311" t="s">
        <v>102</v>
      </c>
      <c r="B365" s="292" t="s">
        <v>276</v>
      </c>
      <c r="C365" s="547"/>
      <c r="D365" s="382">
        <f>E365+I365+J365</f>
        <v>1040.5650000000001</v>
      </c>
      <c r="E365" s="299"/>
      <c r="F365" s="299"/>
      <c r="G365" s="299"/>
      <c r="H365" s="299"/>
      <c r="I365" s="299"/>
      <c r="J365" s="295">
        <f>960+80+0.565</f>
        <v>1040.5650000000001</v>
      </c>
      <c r="K365" s="295"/>
      <c r="L365" s="295">
        <f>D365-K365</f>
        <v>1040.5650000000001</v>
      </c>
    </row>
    <row r="366" spans="1:12">
      <c r="A366" s="311" t="s">
        <v>102</v>
      </c>
      <c r="B366" s="292" t="s">
        <v>576</v>
      </c>
      <c r="C366" s="547"/>
      <c r="D366" s="382">
        <f>E366+I366+J366</f>
        <v>100</v>
      </c>
      <c r="E366" s="299"/>
      <c r="F366" s="299"/>
      <c r="G366" s="299"/>
      <c r="H366" s="299"/>
      <c r="I366" s="299"/>
      <c r="J366" s="295">
        <v>100</v>
      </c>
      <c r="K366" s="295"/>
      <c r="L366" s="295">
        <f>D366-K366</f>
        <v>100</v>
      </c>
    </row>
    <row r="367" spans="1:12" ht="30">
      <c r="A367" s="298">
        <v>3</v>
      </c>
      <c r="B367" s="288" t="s">
        <v>630</v>
      </c>
      <c r="C367" s="322"/>
      <c r="D367" s="445">
        <f>E367+I367+J367</f>
        <v>40</v>
      </c>
      <c r="E367" s="299"/>
      <c r="F367" s="299"/>
      <c r="G367" s="299"/>
      <c r="H367" s="299"/>
      <c r="I367" s="299"/>
      <c r="J367" s="299">
        <v>40</v>
      </c>
      <c r="K367" s="299"/>
      <c r="L367" s="299">
        <f>D367-K367</f>
        <v>40</v>
      </c>
    </row>
    <row r="368" spans="1:12">
      <c r="A368" s="298" t="s">
        <v>87</v>
      </c>
      <c r="B368" s="288" t="s">
        <v>867</v>
      </c>
      <c r="C368" s="547"/>
      <c r="D368" s="299">
        <f>SUM(D369:D370)</f>
        <v>150</v>
      </c>
      <c r="E368" s="299">
        <f>SUM(E369:E370)</f>
        <v>0</v>
      </c>
      <c r="F368" s="299">
        <f t="shared" ref="F368:L368" si="149">SUM(F369:F370)</f>
        <v>0</v>
      </c>
      <c r="G368" s="299"/>
      <c r="H368" s="299"/>
      <c r="I368" s="299">
        <f t="shared" si="149"/>
        <v>0</v>
      </c>
      <c r="J368" s="299">
        <f t="shared" si="149"/>
        <v>150</v>
      </c>
      <c r="K368" s="299">
        <f>K369+K370</f>
        <v>15</v>
      </c>
      <c r="L368" s="299">
        <f t="shared" si="149"/>
        <v>135</v>
      </c>
    </row>
    <row r="369" spans="1:12" ht="37.5" customHeight="1">
      <c r="A369" s="314" t="s">
        <v>102</v>
      </c>
      <c r="B369" s="292" t="s">
        <v>664</v>
      </c>
      <c r="C369" s="294"/>
      <c r="D369" s="382">
        <f>E369+I369+J369</f>
        <v>50</v>
      </c>
      <c r="E369" s="295"/>
      <c r="F369" s="295"/>
      <c r="G369" s="295"/>
      <c r="H369" s="295"/>
      <c r="I369" s="295"/>
      <c r="J369" s="295">
        <v>50</v>
      </c>
      <c r="K369" s="295">
        <f>(I369+J369)*10%</f>
        <v>5</v>
      </c>
      <c r="L369" s="295">
        <f>D369-K369</f>
        <v>45</v>
      </c>
    </row>
    <row r="370" spans="1:12">
      <c r="A370" s="314" t="s">
        <v>102</v>
      </c>
      <c r="B370" s="292" t="s">
        <v>665</v>
      </c>
      <c r="C370" s="294"/>
      <c r="D370" s="382">
        <f>E370+I370+F370+J370</f>
        <v>100</v>
      </c>
      <c r="E370" s="295"/>
      <c r="F370" s="295"/>
      <c r="G370" s="295"/>
      <c r="H370" s="295"/>
      <c r="I370" s="295"/>
      <c r="J370" s="295">
        <v>100</v>
      </c>
      <c r="K370" s="295">
        <f>(I370+J370)*10%</f>
        <v>10</v>
      </c>
      <c r="L370" s="295">
        <f>D370-K370</f>
        <v>90</v>
      </c>
    </row>
    <row r="371" spans="1:12">
      <c r="A371" s="298" t="s">
        <v>88</v>
      </c>
      <c r="B371" s="288" t="s">
        <v>103</v>
      </c>
      <c r="C371" s="547"/>
      <c r="D371" s="299">
        <f>D372+D376++D382+D385+D387+D395</f>
        <v>5745</v>
      </c>
      <c r="E371" s="299">
        <f t="shared" ref="E371:L371" si="150">E372+E376++E382+E385+E387+E395</f>
        <v>0</v>
      </c>
      <c r="F371" s="299">
        <f t="shared" si="150"/>
        <v>0</v>
      </c>
      <c r="G371" s="299">
        <f t="shared" si="150"/>
        <v>0</v>
      </c>
      <c r="H371" s="299">
        <f t="shared" si="150"/>
        <v>0</v>
      </c>
      <c r="I371" s="299">
        <f t="shared" si="150"/>
        <v>0</v>
      </c>
      <c r="J371" s="299">
        <f t="shared" si="150"/>
        <v>5745</v>
      </c>
      <c r="K371" s="299">
        <f t="shared" si="150"/>
        <v>288</v>
      </c>
      <c r="L371" s="299">
        <f t="shared" si="150"/>
        <v>5457</v>
      </c>
    </row>
    <row r="372" spans="1:12">
      <c r="A372" s="298">
        <v>1</v>
      </c>
      <c r="B372" s="288" t="s">
        <v>64</v>
      </c>
      <c r="C372" s="322"/>
      <c r="D372" s="299">
        <f>SUM(D373:D375)</f>
        <v>795</v>
      </c>
      <c r="E372" s="299">
        <f t="shared" ref="E372:L372" si="151">SUM(E373:E375)</f>
        <v>0</v>
      </c>
      <c r="F372" s="299">
        <f t="shared" si="151"/>
        <v>0</v>
      </c>
      <c r="G372" s="299">
        <f t="shared" ref="G372:H372" si="152">SUM(G373:G375)</f>
        <v>0</v>
      </c>
      <c r="H372" s="299">
        <f t="shared" si="152"/>
        <v>0</v>
      </c>
      <c r="I372" s="299">
        <f t="shared" si="151"/>
        <v>0</v>
      </c>
      <c r="J372" s="299">
        <f t="shared" si="151"/>
        <v>795</v>
      </c>
      <c r="K372" s="299">
        <f>SUM(K373:K375)</f>
        <v>0</v>
      </c>
      <c r="L372" s="299">
        <f t="shared" si="151"/>
        <v>795</v>
      </c>
    </row>
    <row r="373" spans="1:12" ht="46.15">
      <c r="A373" s="293" t="s">
        <v>102</v>
      </c>
      <c r="B373" s="292" t="s">
        <v>285</v>
      </c>
      <c r="C373" s="297"/>
      <c r="D373" s="382">
        <f>E373+I373+J373</f>
        <v>500</v>
      </c>
      <c r="E373" s="295"/>
      <c r="F373" s="295"/>
      <c r="G373" s="295"/>
      <c r="H373" s="295"/>
      <c r="I373" s="296"/>
      <c r="J373" s="295">
        <v>500</v>
      </c>
      <c r="K373" s="295"/>
      <c r="L373" s="295">
        <f>D373-K373</f>
        <v>500</v>
      </c>
    </row>
    <row r="374" spans="1:12" ht="30.75">
      <c r="A374" s="293" t="s">
        <v>102</v>
      </c>
      <c r="B374" s="292" t="s">
        <v>774</v>
      </c>
      <c r="C374" s="297"/>
      <c r="D374" s="382">
        <f>E374+I374+J374</f>
        <v>30</v>
      </c>
      <c r="E374" s="295"/>
      <c r="F374" s="295"/>
      <c r="G374" s="295"/>
      <c r="H374" s="295"/>
      <c r="I374" s="296"/>
      <c r="J374" s="295">
        <v>30</v>
      </c>
      <c r="K374" s="295"/>
      <c r="L374" s="295">
        <f>D374-K374</f>
        <v>30</v>
      </c>
    </row>
    <row r="375" spans="1:12" ht="30.75">
      <c r="A375" s="293" t="s">
        <v>102</v>
      </c>
      <c r="B375" s="292" t="s">
        <v>286</v>
      </c>
      <c r="C375" s="297"/>
      <c r="D375" s="382">
        <f>E375+I375+J375</f>
        <v>265</v>
      </c>
      <c r="E375" s="295"/>
      <c r="F375" s="295"/>
      <c r="G375" s="295"/>
      <c r="H375" s="295"/>
      <c r="I375" s="295"/>
      <c r="J375" s="295">
        <v>265</v>
      </c>
      <c r="K375" s="295"/>
      <c r="L375" s="295">
        <f>D375-K375</f>
        <v>265</v>
      </c>
    </row>
    <row r="376" spans="1:12">
      <c r="A376" s="311">
        <v>2</v>
      </c>
      <c r="B376" s="288" t="s">
        <v>65</v>
      </c>
      <c r="C376" s="322"/>
      <c r="D376" s="299">
        <f t="shared" ref="D376:L376" si="153">SUM(D377:D381)</f>
        <v>880</v>
      </c>
      <c r="E376" s="299">
        <f t="shared" si="153"/>
        <v>0</v>
      </c>
      <c r="F376" s="299">
        <f t="shared" si="153"/>
        <v>0</v>
      </c>
      <c r="G376" s="299">
        <f t="shared" si="153"/>
        <v>0</v>
      </c>
      <c r="H376" s="299">
        <f t="shared" si="153"/>
        <v>0</v>
      </c>
      <c r="I376" s="299">
        <f t="shared" si="153"/>
        <v>0</v>
      </c>
      <c r="J376" s="299">
        <f t="shared" si="153"/>
        <v>880</v>
      </c>
      <c r="K376" s="299">
        <f t="shared" si="153"/>
        <v>48</v>
      </c>
      <c r="L376" s="299">
        <f t="shared" si="153"/>
        <v>832</v>
      </c>
    </row>
    <row r="377" spans="1:12" ht="46.15">
      <c r="A377" s="293" t="s">
        <v>102</v>
      </c>
      <c r="B377" s="292" t="s">
        <v>855</v>
      </c>
      <c r="C377" s="297"/>
      <c r="D377" s="382">
        <f>E377+I377+J377</f>
        <v>20</v>
      </c>
      <c r="E377" s="295"/>
      <c r="F377" s="295"/>
      <c r="G377" s="295"/>
      <c r="H377" s="295"/>
      <c r="I377" s="295"/>
      <c r="J377" s="295">
        <v>20</v>
      </c>
      <c r="K377" s="295">
        <f t="shared" ref="K377:K393" si="154">(I377+J377)*10%</f>
        <v>2</v>
      </c>
      <c r="L377" s="295">
        <f>D377-K377</f>
        <v>18</v>
      </c>
    </row>
    <row r="378" spans="1:12">
      <c r="A378" s="293" t="s">
        <v>102</v>
      </c>
      <c r="B378" s="292" t="s">
        <v>191</v>
      </c>
      <c r="C378" s="297"/>
      <c r="D378" s="382">
        <f>E378+I378+J378</f>
        <v>100</v>
      </c>
      <c r="E378" s="295"/>
      <c r="F378" s="295"/>
      <c r="G378" s="295"/>
      <c r="H378" s="295"/>
      <c r="I378" s="296"/>
      <c r="J378" s="295">
        <v>100</v>
      </c>
      <c r="K378" s="295">
        <f t="shared" si="154"/>
        <v>10</v>
      </c>
      <c r="L378" s="295">
        <f>D378-K378</f>
        <v>90</v>
      </c>
    </row>
    <row r="379" spans="1:12" ht="30.75">
      <c r="A379" s="293" t="s">
        <v>102</v>
      </c>
      <c r="B379" s="292" t="s">
        <v>876</v>
      </c>
      <c r="C379" s="297"/>
      <c r="D379" s="382">
        <f>E379+I379+J379</f>
        <v>60</v>
      </c>
      <c r="E379" s="295"/>
      <c r="F379" s="295"/>
      <c r="G379" s="295"/>
      <c r="H379" s="295"/>
      <c r="I379" s="296"/>
      <c r="J379" s="295">
        <v>60</v>
      </c>
      <c r="K379" s="295">
        <f t="shared" si="154"/>
        <v>6</v>
      </c>
      <c r="L379" s="295">
        <f>D379-K379</f>
        <v>54</v>
      </c>
    </row>
    <row r="380" spans="1:12" ht="30.75">
      <c r="A380" s="293" t="s">
        <v>102</v>
      </c>
      <c r="B380" s="292" t="s">
        <v>886</v>
      </c>
      <c r="C380" s="297"/>
      <c r="D380" s="382">
        <f>E380+I380+J380</f>
        <v>300</v>
      </c>
      <c r="E380" s="295"/>
      <c r="F380" s="295"/>
      <c r="G380" s="295"/>
      <c r="H380" s="295"/>
      <c r="I380" s="296"/>
      <c r="J380" s="295">
        <v>300</v>
      </c>
      <c r="K380" s="295">
        <f t="shared" si="154"/>
        <v>30</v>
      </c>
      <c r="L380" s="295">
        <f>D380-K380</f>
        <v>270</v>
      </c>
    </row>
    <row r="381" spans="1:12" ht="24.4" customHeight="1">
      <c r="A381" s="293" t="s">
        <v>102</v>
      </c>
      <c r="B381" s="292" t="s">
        <v>744</v>
      </c>
      <c r="C381" s="297"/>
      <c r="D381" s="382">
        <f>E381+I381+J381</f>
        <v>400</v>
      </c>
      <c r="E381" s="295"/>
      <c r="F381" s="295"/>
      <c r="G381" s="295"/>
      <c r="H381" s="295"/>
      <c r="I381" s="296"/>
      <c r="J381" s="295">
        <v>400</v>
      </c>
      <c r="K381" s="295"/>
      <c r="L381" s="295">
        <f>D381-K381</f>
        <v>400</v>
      </c>
    </row>
    <row r="382" spans="1:12">
      <c r="A382" s="311">
        <v>3</v>
      </c>
      <c r="B382" s="288" t="s">
        <v>81</v>
      </c>
      <c r="C382" s="325"/>
      <c r="D382" s="299">
        <f t="shared" ref="D382:L382" si="155">SUM(D383:D384)</f>
        <v>160</v>
      </c>
      <c r="E382" s="299">
        <f t="shared" si="155"/>
        <v>0</v>
      </c>
      <c r="F382" s="299">
        <f t="shared" si="155"/>
        <v>0</v>
      </c>
      <c r="G382" s="299">
        <f t="shared" si="155"/>
        <v>0</v>
      </c>
      <c r="H382" s="299">
        <f t="shared" si="155"/>
        <v>0</v>
      </c>
      <c r="I382" s="299">
        <f t="shared" si="155"/>
        <v>0</v>
      </c>
      <c r="J382" s="299">
        <f t="shared" si="155"/>
        <v>160</v>
      </c>
      <c r="K382" s="299">
        <f t="shared" si="155"/>
        <v>16</v>
      </c>
      <c r="L382" s="299">
        <f t="shared" si="155"/>
        <v>144</v>
      </c>
    </row>
    <row r="383" spans="1:12" ht="21.4" customHeight="1">
      <c r="A383" s="300" t="s">
        <v>102</v>
      </c>
      <c r="B383" s="292" t="s">
        <v>647</v>
      </c>
      <c r="C383" s="294"/>
      <c r="D383" s="382">
        <f>E383+I383+J383</f>
        <v>80</v>
      </c>
      <c r="E383" s="295"/>
      <c r="F383" s="295"/>
      <c r="G383" s="295"/>
      <c r="H383" s="295"/>
      <c r="I383" s="295"/>
      <c r="J383" s="295">
        <v>80</v>
      </c>
      <c r="K383" s="295">
        <f t="shared" si="154"/>
        <v>8</v>
      </c>
      <c r="L383" s="295">
        <f>D383-K383</f>
        <v>72</v>
      </c>
    </row>
    <row r="384" spans="1:12" ht="35.35" customHeight="1">
      <c r="A384" s="300" t="s">
        <v>102</v>
      </c>
      <c r="B384" s="292" t="s">
        <v>745</v>
      </c>
      <c r="C384" s="294"/>
      <c r="D384" s="382">
        <f>E384+I384+J384</f>
        <v>80</v>
      </c>
      <c r="E384" s="295"/>
      <c r="F384" s="295"/>
      <c r="G384" s="295"/>
      <c r="H384" s="295"/>
      <c r="I384" s="295"/>
      <c r="J384" s="295">
        <v>80</v>
      </c>
      <c r="K384" s="295">
        <f t="shared" si="154"/>
        <v>8</v>
      </c>
      <c r="L384" s="295">
        <f>D384-K384</f>
        <v>72</v>
      </c>
    </row>
    <row r="385" spans="1:12" s="357" customFormat="1" ht="15">
      <c r="A385" s="311">
        <v>4</v>
      </c>
      <c r="B385" s="288" t="s">
        <v>574</v>
      </c>
      <c r="C385" s="325"/>
      <c r="D385" s="299">
        <f>SUM(D386:D386)</f>
        <v>2000</v>
      </c>
      <c r="E385" s="299">
        <f t="shared" ref="E385:L385" si="156">SUM(E386:E386)</f>
        <v>0</v>
      </c>
      <c r="F385" s="299">
        <f t="shared" si="156"/>
        <v>0</v>
      </c>
      <c r="G385" s="299">
        <f t="shared" si="156"/>
        <v>0</v>
      </c>
      <c r="H385" s="299">
        <f t="shared" si="156"/>
        <v>0</v>
      </c>
      <c r="I385" s="299">
        <f t="shared" si="156"/>
        <v>0</v>
      </c>
      <c r="J385" s="299">
        <f t="shared" si="156"/>
        <v>2000</v>
      </c>
      <c r="K385" s="299">
        <f t="shared" si="156"/>
        <v>200</v>
      </c>
      <c r="L385" s="299">
        <f t="shared" si="156"/>
        <v>1800</v>
      </c>
    </row>
    <row r="386" spans="1:12" ht="76.900000000000006">
      <c r="A386" s="300" t="s">
        <v>102</v>
      </c>
      <c r="B386" s="292" t="s">
        <v>872</v>
      </c>
      <c r="C386" s="297"/>
      <c r="D386" s="382">
        <f>E386+I386+J386</f>
        <v>2000</v>
      </c>
      <c r="E386" s="295"/>
      <c r="F386" s="295"/>
      <c r="G386" s="295"/>
      <c r="H386" s="295"/>
      <c r="I386" s="295"/>
      <c r="J386" s="295">
        <v>2000</v>
      </c>
      <c r="K386" s="295">
        <f t="shared" si="154"/>
        <v>200</v>
      </c>
      <c r="L386" s="295">
        <f>D386-K386</f>
        <v>1800</v>
      </c>
    </row>
    <row r="387" spans="1:12" s="357" customFormat="1" ht="15">
      <c r="A387" s="311">
        <v>5</v>
      </c>
      <c r="B387" s="288" t="s">
        <v>575</v>
      </c>
      <c r="C387" s="325"/>
      <c r="D387" s="299">
        <f t="shared" ref="D387:L387" si="157">SUM(D388:D396)</f>
        <v>1910</v>
      </c>
      <c r="E387" s="299">
        <f t="shared" si="157"/>
        <v>0</v>
      </c>
      <c r="F387" s="299">
        <f t="shared" si="157"/>
        <v>0</v>
      </c>
      <c r="G387" s="299">
        <f t="shared" si="157"/>
        <v>0</v>
      </c>
      <c r="H387" s="299">
        <f t="shared" si="157"/>
        <v>0</v>
      </c>
      <c r="I387" s="299">
        <f t="shared" si="157"/>
        <v>0</v>
      </c>
      <c r="J387" s="299">
        <f t="shared" si="157"/>
        <v>1910</v>
      </c>
      <c r="K387" s="299">
        <f t="shared" si="157"/>
        <v>24</v>
      </c>
      <c r="L387" s="299">
        <f t="shared" si="157"/>
        <v>1886</v>
      </c>
    </row>
    <row r="388" spans="1:12" ht="24.4" customHeight="1">
      <c r="A388" s="300" t="s">
        <v>102</v>
      </c>
      <c r="B388" s="292" t="s">
        <v>761</v>
      </c>
      <c r="C388" s="297"/>
      <c r="D388" s="382">
        <f>E388+I388+J388</f>
        <v>20</v>
      </c>
      <c r="E388" s="295"/>
      <c r="F388" s="295"/>
      <c r="G388" s="295"/>
      <c r="H388" s="295"/>
      <c r="I388" s="295"/>
      <c r="J388" s="295">
        <v>20</v>
      </c>
      <c r="K388" s="295"/>
      <c r="L388" s="295">
        <f t="shared" ref="L388:L396" si="158">D388-K388</f>
        <v>20</v>
      </c>
    </row>
    <row r="389" spans="1:12" ht="46.15">
      <c r="A389" s="300" t="s">
        <v>102</v>
      </c>
      <c r="B389" s="292" t="s">
        <v>722</v>
      </c>
      <c r="C389" s="297"/>
      <c r="D389" s="382">
        <f>E389+I389+J389</f>
        <v>70</v>
      </c>
      <c r="E389" s="295"/>
      <c r="F389" s="295"/>
      <c r="G389" s="295"/>
      <c r="H389" s="295"/>
      <c r="I389" s="296"/>
      <c r="J389" s="295">
        <v>70</v>
      </c>
      <c r="K389" s="295">
        <f t="shared" si="154"/>
        <v>7</v>
      </c>
      <c r="L389" s="295">
        <f t="shared" si="158"/>
        <v>63</v>
      </c>
    </row>
    <row r="390" spans="1:12" ht="36" customHeight="1">
      <c r="A390" s="300" t="s">
        <v>102</v>
      </c>
      <c r="B390" s="292" t="s">
        <v>725</v>
      </c>
      <c r="C390" s="297"/>
      <c r="D390" s="382">
        <f>E390+I390+J390</f>
        <v>70</v>
      </c>
      <c r="E390" s="295"/>
      <c r="F390" s="295"/>
      <c r="G390" s="295"/>
      <c r="H390" s="295"/>
      <c r="I390" s="296"/>
      <c r="J390" s="295">
        <v>70</v>
      </c>
      <c r="K390" s="295">
        <f t="shared" si="154"/>
        <v>7</v>
      </c>
      <c r="L390" s="295">
        <f t="shared" si="158"/>
        <v>63</v>
      </c>
    </row>
    <row r="391" spans="1:12" ht="48.4" customHeight="1">
      <c r="A391" s="300" t="s">
        <v>102</v>
      </c>
      <c r="B391" s="292" t="s">
        <v>868</v>
      </c>
      <c r="C391" s="297"/>
      <c r="D391" s="382">
        <f>E391+I391+J391</f>
        <v>650</v>
      </c>
      <c r="E391" s="295"/>
      <c r="F391" s="295"/>
      <c r="G391" s="295"/>
      <c r="H391" s="295"/>
      <c r="I391" s="296"/>
      <c r="J391" s="295">
        <v>650</v>
      </c>
      <c r="K391" s="295"/>
      <c r="L391" s="295">
        <f t="shared" si="158"/>
        <v>650</v>
      </c>
    </row>
    <row r="392" spans="1:12" ht="85.25" customHeight="1">
      <c r="A392" s="300" t="s">
        <v>102</v>
      </c>
      <c r="B392" s="292" t="s">
        <v>871</v>
      </c>
      <c r="C392" s="297"/>
      <c r="D392" s="382">
        <f t="shared" ref="D392:D393" si="159">E392+I392+J392</f>
        <v>700</v>
      </c>
      <c r="E392" s="295"/>
      <c r="F392" s="295"/>
      <c r="G392" s="295"/>
      <c r="H392" s="295"/>
      <c r="I392" s="296"/>
      <c r="J392" s="295">
        <v>700</v>
      </c>
      <c r="K392" s="295"/>
      <c r="L392" s="295">
        <f t="shared" si="158"/>
        <v>700</v>
      </c>
    </row>
    <row r="393" spans="1:12">
      <c r="A393" s="300" t="s">
        <v>102</v>
      </c>
      <c r="B393" s="292" t="s">
        <v>856</v>
      </c>
      <c r="C393" s="297"/>
      <c r="D393" s="382">
        <f t="shared" si="159"/>
        <v>100</v>
      </c>
      <c r="E393" s="295"/>
      <c r="F393" s="295"/>
      <c r="G393" s="295"/>
      <c r="H393" s="295"/>
      <c r="I393" s="296"/>
      <c r="J393" s="295">
        <v>100</v>
      </c>
      <c r="K393" s="295">
        <f t="shared" si="154"/>
        <v>10</v>
      </c>
      <c r="L393" s="295">
        <f t="shared" si="158"/>
        <v>90</v>
      </c>
    </row>
    <row r="394" spans="1:12">
      <c r="A394" s="300" t="s">
        <v>102</v>
      </c>
      <c r="B394" s="292" t="s">
        <v>863</v>
      </c>
      <c r="C394" s="297"/>
      <c r="D394" s="382">
        <f>E394+I394+J394</f>
        <v>300</v>
      </c>
      <c r="E394" s="295"/>
      <c r="F394" s="295"/>
      <c r="G394" s="295"/>
      <c r="H394" s="295"/>
      <c r="I394" s="296"/>
      <c r="J394" s="295">
        <v>300</v>
      </c>
      <c r="K394" s="295"/>
      <c r="L394" s="295">
        <f t="shared" si="158"/>
        <v>300</v>
      </c>
    </row>
    <row r="395" spans="1:12" hidden="1">
      <c r="A395" s="300" t="s">
        <v>102</v>
      </c>
      <c r="B395" s="288" t="s">
        <v>583</v>
      </c>
      <c r="C395" s="325"/>
      <c r="D395" s="382">
        <f>E395+I395+F395+J395</f>
        <v>0</v>
      </c>
      <c r="E395" s="445">
        <f t="shared" ref="E395:J395" si="160">E396</f>
        <v>0</v>
      </c>
      <c r="F395" s="445">
        <f t="shared" si="160"/>
        <v>0</v>
      </c>
      <c r="G395" s="445"/>
      <c r="H395" s="445"/>
      <c r="I395" s="445">
        <f t="shared" si="160"/>
        <v>0</v>
      </c>
      <c r="J395" s="445">
        <f t="shared" si="160"/>
        <v>0</v>
      </c>
      <c r="K395" s="295">
        <f t="shared" ref="K395:K396" si="161">(I395+J395)*10%</f>
        <v>0</v>
      </c>
      <c r="L395" s="295">
        <f t="shared" si="158"/>
        <v>0</v>
      </c>
    </row>
    <row r="396" spans="1:12" hidden="1">
      <c r="A396" s="300" t="s">
        <v>102</v>
      </c>
      <c r="B396" s="292" t="s">
        <v>708</v>
      </c>
      <c r="C396" s="297"/>
      <c r="D396" s="382">
        <f>E396+I396+F396+J396</f>
        <v>0</v>
      </c>
      <c r="E396" s="295"/>
      <c r="F396" s="295"/>
      <c r="G396" s="295"/>
      <c r="H396" s="295"/>
      <c r="I396" s="296"/>
      <c r="J396" s="295"/>
      <c r="K396" s="295">
        <f t="shared" si="161"/>
        <v>0</v>
      </c>
      <c r="L396" s="295">
        <f t="shared" si="158"/>
        <v>0</v>
      </c>
    </row>
    <row r="397" spans="1:12" s="357" customFormat="1" ht="15">
      <c r="A397" s="298" t="s">
        <v>229</v>
      </c>
      <c r="B397" s="312" t="s">
        <v>347</v>
      </c>
      <c r="C397" s="547"/>
      <c r="D397" s="299">
        <f>D398+D399</f>
        <v>1600</v>
      </c>
      <c r="E397" s="299">
        <f t="shared" ref="E397:L397" si="162">E398+E399</f>
        <v>0</v>
      </c>
      <c r="F397" s="299">
        <f t="shared" si="162"/>
        <v>0</v>
      </c>
      <c r="G397" s="299">
        <f t="shared" si="162"/>
        <v>0</v>
      </c>
      <c r="H397" s="299">
        <f t="shared" si="162"/>
        <v>0</v>
      </c>
      <c r="I397" s="299">
        <f t="shared" si="162"/>
        <v>0</v>
      </c>
      <c r="J397" s="299">
        <f t="shared" si="162"/>
        <v>1600</v>
      </c>
      <c r="K397" s="299">
        <f t="shared" si="162"/>
        <v>0</v>
      </c>
      <c r="L397" s="299">
        <f t="shared" si="162"/>
        <v>1600</v>
      </c>
    </row>
    <row r="398" spans="1:12">
      <c r="A398" s="311">
        <v>1</v>
      </c>
      <c r="B398" s="288" t="s">
        <v>260</v>
      </c>
      <c r="C398" s="547"/>
      <c r="D398" s="445">
        <f>E398+I398+J398</f>
        <v>600</v>
      </c>
      <c r="E398" s="299"/>
      <c r="F398" s="299"/>
      <c r="G398" s="299"/>
      <c r="H398" s="299"/>
      <c r="I398" s="299"/>
      <c r="J398" s="299">
        <v>600</v>
      </c>
      <c r="K398" s="299"/>
      <c r="L398" s="299">
        <f>D398-K398</f>
        <v>600</v>
      </c>
    </row>
    <row r="399" spans="1:12" s="357" customFormat="1" ht="15">
      <c r="A399" s="311">
        <v>2</v>
      </c>
      <c r="B399" s="288" t="s">
        <v>64</v>
      </c>
      <c r="C399" s="547"/>
      <c r="D399" s="299">
        <f>D400</f>
        <v>1000</v>
      </c>
      <c r="E399" s="299">
        <f t="shared" ref="E399:L399" si="163">E400</f>
        <v>0</v>
      </c>
      <c r="F399" s="299">
        <f t="shared" si="163"/>
        <v>0</v>
      </c>
      <c r="G399" s="299">
        <f t="shared" si="163"/>
        <v>0</v>
      </c>
      <c r="H399" s="299">
        <f t="shared" si="163"/>
        <v>0</v>
      </c>
      <c r="I399" s="299">
        <f t="shared" si="163"/>
        <v>0</v>
      </c>
      <c r="J399" s="299">
        <f t="shared" si="163"/>
        <v>1000</v>
      </c>
      <c r="K399" s="299">
        <f t="shared" si="163"/>
        <v>0</v>
      </c>
      <c r="L399" s="299">
        <f t="shared" si="163"/>
        <v>1000</v>
      </c>
    </row>
    <row r="400" spans="1:12" ht="61.5">
      <c r="A400" s="300" t="s">
        <v>102</v>
      </c>
      <c r="B400" s="292" t="s">
        <v>759</v>
      </c>
      <c r="C400" s="294"/>
      <c r="D400" s="382">
        <f>E400+I400+J400</f>
        <v>1000</v>
      </c>
      <c r="E400" s="295"/>
      <c r="F400" s="295"/>
      <c r="G400" s="295"/>
      <c r="H400" s="295"/>
      <c r="I400" s="295"/>
      <c r="J400" s="295">
        <v>1000</v>
      </c>
      <c r="K400" s="295"/>
      <c r="L400" s="295">
        <f>D400-K400</f>
        <v>1000</v>
      </c>
    </row>
    <row r="401" spans="1:12">
      <c r="A401" s="298" t="s">
        <v>17</v>
      </c>
      <c r="B401" s="288" t="s">
        <v>246</v>
      </c>
      <c r="C401" s="294"/>
      <c r="D401" s="299">
        <f t="shared" ref="D401:L401" si="164">D402</f>
        <v>200</v>
      </c>
      <c r="E401" s="299">
        <f t="shared" si="164"/>
        <v>0</v>
      </c>
      <c r="F401" s="299">
        <f t="shared" si="164"/>
        <v>0</v>
      </c>
      <c r="G401" s="299">
        <f t="shared" si="164"/>
        <v>0</v>
      </c>
      <c r="H401" s="299">
        <f t="shared" si="164"/>
        <v>0</v>
      </c>
      <c r="I401" s="299">
        <f t="shared" si="164"/>
        <v>0</v>
      </c>
      <c r="J401" s="299">
        <f t="shared" si="164"/>
        <v>200</v>
      </c>
      <c r="K401" s="299">
        <f>K402</f>
        <v>20</v>
      </c>
      <c r="L401" s="299">
        <f t="shared" si="164"/>
        <v>180</v>
      </c>
    </row>
    <row r="402" spans="1:12" s="357" customFormat="1" ht="30.75">
      <c r="A402" s="314">
        <v>1</v>
      </c>
      <c r="B402" s="292" t="s">
        <v>666</v>
      </c>
      <c r="C402" s="294"/>
      <c r="D402" s="382">
        <f>E402+I402+J402</f>
        <v>200</v>
      </c>
      <c r="E402" s="295"/>
      <c r="F402" s="295"/>
      <c r="G402" s="295"/>
      <c r="H402" s="295"/>
      <c r="I402" s="295"/>
      <c r="J402" s="295">
        <v>200</v>
      </c>
      <c r="K402" s="295">
        <f>J402*10%</f>
        <v>20</v>
      </c>
      <c r="L402" s="295">
        <f>D402-K402</f>
        <v>180</v>
      </c>
    </row>
    <row r="403" spans="1:12">
      <c r="A403" s="298" t="s">
        <v>271</v>
      </c>
      <c r="B403" s="312" t="s">
        <v>330</v>
      </c>
      <c r="C403" s="547"/>
      <c r="D403" s="299">
        <f t="shared" ref="D403:L403" si="165">D404+D409+D414</f>
        <v>2400</v>
      </c>
      <c r="E403" s="299">
        <f t="shared" si="165"/>
        <v>0</v>
      </c>
      <c r="F403" s="299">
        <f t="shared" si="165"/>
        <v>0</v>
      </c>
      <c r="G403" s="299">
        <f t="shared" si="165"/>
        <v>0</v>
      </c>
      <c r="H403" s="299">
        <f t="shared" si="165"/>
        <v>0</v>
      </c>
      <c r="I403" s="299">
        <f t="shared" si="165"/>
        <v>0</v>
      </c>
      <c r="J403" s="299">
        <f t="shared" si="165"/>
        <v>2400</v>
      </c>
      <c r="K403" s="299">
        <f t="shared" si="165"/>
        <v>157.5</v>
      </c>
      <c r="L403" s="299">
        <f t="shared" si="165"/>
        <v>2242.5</v>
      </c>
    </row>
    <row r="404" spans="1:12" s="357" customFormat="1">
      <c r="A404" s="298">
        <v>1</v>
      </c>
      <c r="B404" s="288" t="s">
        <v>288</v>
      </c>
      <c r="C404" s="294"/>
      <c r="D404" s="445">
        <f>E404+I404+J404</f>
        <v>1800</v>
      </c>
      <c r="E404" s="295"/>
      <c r="F404" s="295"/>
      <c r="G404" s="295"/>
      <c r="H404" s="295"/>
      <c r="I404" s="295"/>
      <c r="J404" s="299">
        <v>1800</v>
      </c>
      <c r="K404" s="299">
        <v>100</v>
      </c>
      <c r="L404" s="299">
        <f>D404-K404</f>
        <v>1700</v>
      </c>
    </row>
    <row r="405" spans="1:12" s="389" customFormat="1">
      <c r="A405" s="326"/>
      <c r="B405" s="292" t="s">
        <v>249</v>
      </c>
      <c r="C405" s="302"/>
      <c r="D405" s="296"/>
      <c r="E405" s="296"/>
      <c r="F405" s="296"/>
      <c r="G405" s="296"/>
      <c r="H405" s="296"/>
      <c r="I405" s="296"/>
      <c r="J405" s="296"/>
      <c r="K405" s="296"/>
      <c r="L405" s="296"/>
    </row>
    <row r="406" spans="1:12">
      <c r="A406" s="300" t="s">
        <v>102</v>
      </c>
      <c r="B406" s="292" t="s">
        <v>631</v>
      </c>
      <c r="C406" s="294"/>
      <c r="D406" s="382">
        <f>E406+I406+J406</f>
        <v>50</v>
      </c>
      <c r="E406" s="295"/>
      <c r="F406" s="295"/>
      <c r="G406" s="295"/>
      <c r="H406" s="295"/>
      <c r="I406" s="295"/>
      <c r="J406" s="295">
        <v>50</v>
      </c>
      <c r="K406" s="295"/>
      <c r="L406" s="295">
        <f>D406-K406</f>
        <v>50</v>
      </c>
    </row>
    <row r="407" spans="1:12">
      <c r="A407" s="300" t="s">
        <v>102</v>
      </c>
      <c r="B407" s="292" t="s">
        <v>768</v>
      </c>
      <c r="C407" s="294"/>
      <c r="D407" s="382">
        <f>E407+I407+J407</f>
        <v>50</v>
      </c>
      <c r="E407" s="295"/>
      <c r="F407" s="295"/>
      <c r="G407" s="295"/>
      <c r="H407" s="295"/>
      <c r="I407" s="295"/>
      <c r="J407" s="295">
        <v>50</v>
      </c>
      <c r="K407" s="295"/>
      <c r="L407" s="295">
        <f>D407-K407</f>
        <v>50</v>
      </c>
    </row>
    <row r="408" spans="1:12">
      <c r="A408" s="300" t="s">
        <v>102</v>
      </c>
      <c r="B408" s="292" t="s">
        <v>667</v>
      </c>
      <c r="C408" s="294"/>
      <c r="D408" s="382">
        <f>E408+I408+J408</f>
        <v>700</v>
      </c>
      <c r="E408" s="295"/>
      <c r="F408" s="295"/>
      <c r="G408" s="295"/>
      <c r="H408" s="295"/>
      <c r="I408" s="295"/>
      <c r="J408" s="295">
        <v>700</v>
      </c>
      <c r="K408" s="295"/>
      <c r="L408" s="295">
        <f>D408-K408</f>
        <v>700</v>
      </c>
    </row>
    <row r="409" spans="1:12">
      <c r="A409" s="298">
        <v>2</v>
      </c>
      <c r="B409" s="288" t="s">
        <v>289</v>
      </c>
      <c r="C409" s="294"/>
      <c r="D409" s="299">
        <f>SUM(D410:D413)</f>
        <v>550</v>
      </c>
      <c r="E409" s="299">
        <f t="shared" ref="E409:L409" si="166">SUM(E410:E413)</f>
        <v>0</v>
      </c>
      <c r="F409" s="299">
        <f t="shared" si="166"/>
        <v>0</v>
      </c>
      <c r="G409" s="299">
        <f t="shared" si="166"/>
        <v>0</v>
      </c>
      <c r="H409" s="299">
        <f t="shared" si="166"/>
        <v>0</v>
      </c>
      <c r="I409" s="299">
        <f t="shared" si="166"/>
        <v>0</v>
      </c>
      <c r="J409" s="299">
        <f t="shared" si="166"/>
        <v>550</v>
      </c>
      <c r="K409" s="299">
        <f t="shared" si="166"/>
        <v>52.5</v>
      </c>
      <c r="L409" s="299">
        <f t="shared" si="166"/>
        <v>497.5</v>
      </c>
    </row>
    <row r="410" spans="1:12">
      <c r="A410" s="300" t="s">
        <v>102</v>
      </c>
      <c r="B410" s="292" t="s">
        <v>632</v>
      </c>
      <c r="C410" s="294"/>
      <c r="D410" s="382">
        <f>E410+I410+J410</f>
        <v>50</v>
      </c>
      <c r="E410" s="295"/>
      <c r="F410" s="295"/>
      <c r="G410" s="295"/>
      <c r="H410" s="295"/>
      <c r="I410" s="295"/>
      <c r="J410" s="295">
        <v>50</v>
      </c>
      <c r="K410" s="295">
        <f>J410*10%</f>
        <v>5</v>
      </c>
      <c r="L410" s="295">
        <f>D410-K410</f>
        <v>45</v>
      </c>
    </row>
    <row r="411" spans="1:12" ht="61.5">
      <c r="A411" s="300" t="s">
        <v>102</v>
      </c>
      <c r="B411" s="292" t="s">
        <v>670</v>
      </c>
      <c r="C411" s="294"/>
      <c r="D411" s="382">
        <f>E411+I411+J411</f>
        <v>200</v>
      </c>
      <c r="E411" s="295"/>
      <c r="F411" s="295"/>
      <c r="G411" s="295"/>
      <c r="H411" s="295"/>
      <c r="I411" s="295"/>
      <c r="J411" s="295">
        <v>200</v>
      </c>
      <c r="K411" s="295">
        <f>J411*10%</f>
        <v>20</v>
      </c>
      <c r="L411" s="295">
        <f>D411-K411</f>
        <v>180</v>
      </c>
    </row>
    <row r="412" spans="1:12" ht="30.75">
      <c r="A412" s="300" t="s">
        <v>102</v>
      </c>
      <c r="B412" s="292" t="s">
        <v>671</v>
      </c>
      <c r="C412" s="294"/>
      <c r="D412" s="382">
        <f>E412+I412+J412</f>
        <v>50</v>
      </c>
      <c r="E412" s="295"/>
      <c r="F412" s="295"/>
      <c r="G412" s="295"/>
      <c r="H412" s="295"/>
      <c r="I412" s="295"/>
      <c r="J412" s="295">
        <v>50</v>
      </c>
      <c r="K412" s="295">
        <f>J412*10%/2</f>
        <v>2.5</v>
      </c>
      <c r="L412" s="295">
        <f>D412-K412</f>
        <v>47.5</v>
      </c>
    </row>
    <row r="413" spans="1:12" ht="61.5">
      <c r="A413" s="300" t="s">
        <v>102</v>
      </c>
      <c r="B413" s="292" t="s">
        <v>633</v>
      </c>
      <c r="C413" s="294"/>
      <c r="D413" s="382">
        <f>E413+I413+J413</f>
        <v>250</v>
      </c>
      <c r="E413" s="295"/>
      <c r="F413" s="295"/>
      <c r="G413" s="295"/>
      <c r="H413" s="295"/>
      <c r="I413" s="295"/>
      <c r="J413" s="295">
        <v>250</v>
      </c>
      <c r="K413" s="295">
        <f>J413*10%</f>
        <v>25</v>
      </c>
      <c r="L413" s="295">
        <f>D413-K413</f>
        <v>225</v>
      </c>
    </row>
    <row r="414" spans="1:12" s="357" customFormat="1" ht="15">
      <c r="A414" s="311">
        <v>3</v>
      </c>
      <c r="B414" s="288" t="s">
        <v>792</v>
      </c>
      <c r="C414" s="547"/>
      <c r="D414" s="445">
        <f>D415+D416</f>
        <v>50</v>
      </c>
      <c r="E414" s="445">
        <f t="shared" ref="E414:L414" si="167">E415+E416</f>
        <v>0</v>
      </c>
      <c r="F414" s="445">
        <f t="shared" si="167"/>
        <v>0</v>
      </c>
      <c r="G414" s="445">
        <f t="shared" si="167"/>
        <v>0</v>
      </c>
      <c r="H414" s="445">
        <f t="shared" si="167"/>
        <v>0</v>
      </c>
      <c r="I414" s="445">
        <f t="shared" si="167"/>
        <v>0</v>
      </c>
      <c r="J414" s="445">
        <f t="shared" si="167"/>
        <v>50</v>
      </c>
      <c r="K414" s="445">
        <f t="shared" si="167"/>
        <v>5</v>
      </c>
      <c r="L414" s="445">
        <f t="shared" si="167"/>
        <v>45</v>
      </c>
    </row>
    <row r="415" spans="1:12">
      <c r="A415" s="300" t="s">
        <v>102</v>
      </c>
      <c r="B415" s="292" t="s">
        <v>793</v>
      </c>
      <c r="C415" s="294"/>
      <c r="D415" s="382">
        <f>E415+I415+J415</f>
        <v>30</v>
      </c>
      <c r="E415" s="295"/>
      <c r="F415" s="295"/>
      <c r="G415" s="295"/>
      <c r="H415" s="295"/>
      <c r="I415" s="295"/>
      <c r="J415" s="295">
        <v>30</v>
      </c>
      <c r="K415" s="295">
        <f>J415*10%</f>
        <v>3</v>
      </c>
      <c r="L415" s="295">
        <f>D415-K415</f>
        <v>27</v>
      </c>
    </row>
    <row r="416" spans="1:12">
      <c r="A416" s="300" t="s">
        <v>102</v>
      </c>
      <c r="B416" s="292" t="s">
        <v>794</v>
      </c>
      <c r="C416" s="294"/>
      <c r="D416" s="382">
        <f>E416+I416+J416</f>
        <v>20</v>
      </c>
      <c r="E416" s="295"/>
      <c r="F416" s="295"/>
      <c r="G416" s="295"/>
      <c r="H416" s="295"/>
      <c r="I416" s="295"/>
      <c r="J416" s="295">
        <v>20</v>
      </c>
      <c r="K416" s="295">
        <f>J416*10%</f>
        <v>2</v>
      </c>
      <c r="L416" s="295">
        <f>D416-K416</f>
        <v>18</v>
      </c>
    </row>
    <row r="417" spans="1:12" ht="31.25" customHeight="1">
      <c r="A417" s="311" t="s">
        <v>322</v>
      </c>
      <c r="B417" s="288" t="s">
        <v>781</v>
      </c>
      <c r="C417" s="297"/>
      <c r="D417" s="299">
        <f>D418</f>
        <v>1800</v>
      </c>
      <c r="E417" s="299">
        <f t="shared" ref="E417:L417" si="168">E418</f>
        <v>0</v>
      </c>
      <c r="F417" s="299">
        <f t="shared" si="168"/>
        <v>0</v>
      </c>
      <c r="G417" s="299">
        <f t="shared" si="168"/>
        <v>0</v>
      </c>
      <c r="H417" s="299">
        <f t="shared" si="168"/>
        <v>0</v>
      </c>
      <c r="I417" s="299">
        <f t="shared" si="168"/>
        <v>0</v>
      </c>
      <c r="J417" s="299">
        <f t="shared" si="168"/>
        <v>1800</v>
      </c>
      <c r="K417" s="299">
        <f t="shared" si="168"/>
        <v>0</v>
      </c>
      <c r="L417" s="299">
        <f t="shared" si="168"/>
        <v>1800</v>
      </c>
    </row>
    <row r="418" spans="1:12" ht="30.75">
      <c r="A418" s="311" t="s">
        <v>102</v>
      </c>
      <c r="B418" s="292" t="s">
        <v>672</v>
      </c>
      <c r="C418" s="297"/>
      <c r="D418" s="382">
        <f>E418+I418+J418</f>
        <v>1800</v>
      </c>
      <c r="E418" s="295"/>
      <c r="F418" s="295"/>
      <c r="G418" s="295"/>
      <c r="H418" s="295"/>
      <c r="I418" s="296"/>
      <c r="J418" s="295">
        <v>1800</v>
      </c>
      <c r="K418" s="295"/>
      <c r="L418" s="295">
        <f>D418-K418</f>
        <v>1800</v>
      </c>
    </row>
    <row r="419" spans="1:12" s="357" customFormat="1" ht="15">
      <c r="A419" s="311" t="s">
        <v>335</v>
      </c>
      <c r="B419" s="288" t="s">
        <v>323</v>
      </c>
      <c r="C419" s="325"/>
      <c r="D419" s="445">
        <f>E419+I419+J419</f>
        <v>50</v>
      </c>
      <c r="E419" s="299"/>
      <c r="F419" s="299"/>
      <c r="G419" s="299"/>
      <c r="H419" s="299"/>
      <c r="I419" s="327"/>
      <c r="J419" s="299">
        <v>50</v>
      </c>
      <c r="K419" s="299"/>
      <c r="L419" s="299">
        <f>D419-K419</f>
        <v>50</v>
      </c>
    </row>
    <row r="420" spans="1:12" ht="24.75" customHeight="1">
      <c r="A420" s="298" t="s">
        <v>726</v>
      </c>
      <c r="B420" s="312" t="s">
        <v>183</v>
      </c>
      <c r="C420" s="547"/>
      <c r="D420" s="445">
        <f>E420+I420+J420</f>
        <v>6913.3</v>
      </c>
      <c r="E420" s="299"/>
      <c r="F420" s="299"/>
      <c r="G420" s="299"/>
      <c r="H420" s="299"/>
      <c r="I420" s="299"/>
      <c r="J420" s="299">
        <f>8689-'chi xã'!C80</f>
        <v>6913.3</v>
      </c>
      <c r="K420" s="299"/>
      <c r="L420" s="299">
        <f>D420-K420</f>
        <v>6913.3</v>
      </c>
    </row>
    <row r="421" spans="1:12">
      <c r="B421" s="345"/>
      <c r="C421" s="346"/>
      <c r="D421" s="347"/>
      <c r="E421" s="348"/>
      <c r="F421" s="348"/>
      <c r="G421" s="348"/>
      <c r="H421" s="348"/>
      <c r="I421" s="348"/>
      <c r="J421" s="349"/>
      <c r="K421" s="350"/>
      <c r="L421" s="348"/>
    </row>
    <row r="422" spans="1:12">
      <c r="A422" s="344"/>
      <c r="D422" s="543"/>
    </row>
    <row r="423" spans="1:12">
      <c r="D423" s="386"/>
      <c r="J423" s="387"/>
    </row>
    <row r="424" spans="1:12">
      <c r="D424" s="386"/>
    </row>
    <row r="427" spans="1:12">
      <c r="C427" s="310"/>
      <c r="L427" s="310"/>
    </row>
    <row r="428" spans="1:12">
      <c r="A428" s="310"/>
      <c r="C428" s="310"/>
      <c r="L428" s="310"/>
    </row>
    <row r="429" spans="1:12">
      <c r="A429" s="310"/>
    </row>
  </sheetData>
  <autoFilter ref="A1:L420" xr:uid="{00000000-0009-0000-0000-000003000000}">
    <filterColumn colId="0" showButton="0"/>
    <filterColumn colId="10" showButton="0"/>
  </autoFilter>
  <mergeCells count="18">
    <mergeCell ref="A1:B1"/>
    <mergeCell ref="K1:L1"/>
    <mergeCell ref="A2:L2"/>
    <mergeCell ref="A3:L3"/>
    <mergeCell ref="K5:K7"/>
    <mergeCell ref="C5:C7"/>
    <mergeCell ref="D6:D7"/>
    <mergeCell ref="I6:I7"/>
    <mergeCell ref="J6:J7"/>
    <mergeCell ref="D5:J5"/>
    <mergeCell ref="A5:A7"/>
    <mergeCell ref="B5:B7"/>
    <mergeCell ref="K4:L4"/>
    <mergeCell ref="E6:E7"/>
    <mergeCell ref="G6:G7"/>
    <mergeCell ref="H6:H7"/>
    <mergeCell ref="L5:L7"/>
    <mergeCell ref="F6:F7"/>
  </mergeCells>
  <phoneticPr fontId="6" type="noConversion"/>
  <pageMargins left="0.38" right="0.19" top="0.43307086614173229" bottom="0.35433070866141736" header="0.19685039370078741" footer="0.19685039370078741"/>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E604E-63EB-43EB-926B-97652D1223CF}">
  <sheetPr>
    <tabColor rgb="FF00B050"/>
  </sheetPr>
  <dimension ref="B5:I29"/>
  <sheetViews>
    <sheetView topLeftCell="A7" workbookViewId="0">
      <selection activeCell="H28" sqref="H28"/>
    </sheetView>
  </sheetViews>
  <sheetFormatPr defaultRowHeight="16.5"/>
  <cols>
    <col min="1" max="2" width="8.83984375" style="529"/>
    <col min="3" max="3" width="14.3125" style="529" customWidth="1"/>
    <col min="4" max="4" width="10.578125" style="529" customWidth="1"/>
    <col min="5" max="5" width="11.83984375" style="529" customWidth="1"/>
    <col min="6" max="6" width="12.68359375" style="529" customWidth="1"/>
    <col min="7" max="7" width="8.83984375" style="529"/>
    <col min="8" max="8" width="11.7890625" style="529" bestFit="1" customWidth="1"/>
    <col min="9" max="9" width="10.83984375" style="529" bestFit="1" customWidth="1"/>
    <col min="10" max="10" width="19.62890625" style="529" customWidth="1"/>
    <col min="11" max="16384" width="8.83984375" style="529"/>
  </cols>
  <sheetData>
    <row r="5" spans="2:9" ht="49.5">
      <c r="D5" s="537" t="s">
        <v>839</v>
      </c>
      <c r="E5" s="537" t="s">
        <v>840</v>
      </c>
      <c r="F5" s="537" t="s">
        <v>48</v>
      </c>
    </row>
    <row r="6" spans="2:9">
      <c r="B6" s="529">
        <v>1</v>
      </c>
      <c r="C6" s="531" t="s">
        <v>837</v>
      </c>
    </row>
    <row r="7" spans="2:9">
      <c r="C7" s="529" t="s">
        <v>833</v>
      </c>
      <c r="D7" s="530">
        <v>162</v>
      </c>
      <c r="E7" s="530">
        <v>1387</v>
      </c>
      <c r="F7" s="530">
        <f>D7+E7</f>
        <v>1549</v>
      </c>
      <c r="H7" s="534">
        <f>F7+F11</f>
        <v>61010</v>
      </c>
    </row>
    <row r="8" spans="2:9">
      <c r="C8" s="529" t="s">
        <v>834</v>
      </c>
      <c r="D8" s="530">
        <v>67.403000000000006</v>
      </c>
      <c r="E8" s="530">
        <v>117.41200000000001</v>
      </c>
      <c r="F8" s="530">
        <f t="shared" ref="F8:F9" si="0">D8+E8</f>
        <v>184.815</v>
      </c>
    </row>
    <row r="9" spans="2:9">
      <c r="C9" s="529" t="s">
        <v>836</v>
      </c>
      <c r="D9" s="530">
        <v>94.596999999999994</v>
      </c>
      <c r="E9" s="530">
        <v>1269.588</v>
      </c>
      <c r="F9" s="530">
        <f t="shared" si="0"/>
        <v>1364.1849999999999</v>
      </c>
    </row>
    <row r="10" spans="2:9" s="531" customFormat="1">
      <c r="B10" s="531">
        <v>2</v>
      </c>
      <c r="C10" s="531" t="s">
        <v>838</v>
      </c>
      <c r="D10" s="532"/>
      <c r="E10" s="532"/>
      <c r="F10" s="532"/>
    </row>
    <row r="11" spans="2:9">
      <c r="C11" s="310" t="s">
        <v>833</v>
      </c>
      <c r="D11" s="527">
        <v>16161</v>
      </c>
      <c r="E11" s="527">
        <v>43300</v>
      </c>
      <c r="F11" s="530">
        <f t="shared" ref="F11:F26" si="1">D11+E11</f>
        <v>59461</v>
      </c>
    </row>
    <row r="12" spans="2:9">
      <c r="C12" s="310" t="s">
        <v>834</v>
      </c>
      <c r="D12" s="527">
        <v>24971.457999999999</v>
      </c>
      <c r="E12" s="527">
        <v>43498.677999999993</v>
      </c>
      <c r="F12" s="530">
        <f t="shared" si="1"/>
        <v>68470.135999999999</v>
      </c>
    </row>
    <row r="13" spans="2:9">
      <c r="C13" s="310" t="s">
        <v>835</v>
      </c>
      <c r="D13" s="527">
        <f>D11-D12</f>
        <v>-8810.4579999999987</v>
      </c>
      <c r="E13" s="527">
        <f>E11-E12</f>
        <v>-198.67799999999261</v>
      </c>
      <c r="F13" s="530">
        <f t="shared" si="1"/>
        <v>-9009.1359999999913</v>
      </c>
      <c r="H13" s="535"/>
    </row>
    <row r="14" spans="2:9">
      <c r="C14" s="310"/>
      <c r="D14" s="527">
        <v>-383.06200000000001</v>
      </c>
      <c r="E14" s="536">
        <f>E13/6</f>
        <v>-33.11299999999877</v>
      </c>
      <c r="F14" s="529" t="s">
        <v>842</v>
      </c>
      <c r="I14" s="536"/>
    </row>
    <row r="15" spans="2:9">
      <c r="C15" s="310"/>
      <c r="D15" s="526">
        <v>23</v>
      </c>
      <c r="E15" s="536"/>
      <c r="F15" s="530"/>
      <c r="I15" s="536"/>
    </row>
    <row r="16" spans="2:9">
      <c r="C16" s="310"/>
      <c r="D16" s="528">
        <f>D14*D15</f>
        <v>-8810.4259999999995</v>
      </c>
      <c r="E16" s="527"/>
      <c r="F16" s="530"/>
      <c r="H16" s="534"/>
      <c r="I16" s="536"/>
    </row>
    <row r="17" spans="2:9">
      <c r="C17" s="310"/>
      <c r="D17" s="527">
        <f>D13-D16</f>
        <v>-3.19999999992433E-2</v>
      </c>
      <c r="E17" s="527"/>
      <c r="F17" s="530"/>
      <c r="H17" s="534"/>
      <c r="I17" s="536"/>
    </row>
    <row r="18" spans="2:9" ht="30.75">
      <c r="C18" s="310"/>
      <c r="D18" s="527" t="s">
        <v>846</v>
      </c>
      <c r="E18" s="527"/>
      <c r="F18" s="530"/>
      <c r="H18" s="534"/>
      <c r="I18" s="536"/>
    </row>
    <row r="19" spans="2:9">
      <c r="C19" s="310"/>
      <c r="D19" s="527"/>
      <c r="E19" s="527"/>
      <c r="F19" s="530"/>
      <c r="H19" s="534"/>
      <c r="I19" s="536"/>
    </row>
    <row r="20" spans="2:9">
      <c r="C20" s="310"/>
      <c r="D20" s="527"/>
      <c r="E20" s="527"/>
      <c r="F20" s="530"/>
      <c r="H20" s="534"/>
      <c r="I20" s="536"/>
    </row>
    <row r="21" spans="2:9">
      <c r="C21" s="310"/>
      <c r="D21" s="527"/>
      <c r="E21" s="527"/>
      <c r="F21" s="530"/>
      <c r="H21" s="534"/>
      <c r="I21" s="536"/>
    </row>
    <row r="22" spans="2:9">
      <c r="C22" s="310"/>
      <c r="D22" s="527"/>
      <c r="E22" s="527"/>
      <c r="F22" s="530"/>
      <c r="H22" s="534"/>
      <c r="I22" s="536"/>
    </row>
    <row r="23" spans="2:9">
      <c r="C23" s="310"/>
      <c r="D23" s="527"/>
      <c r="E23" s="527"/>
      <c r="F23" s="530"/>
      <c r="H23" s="534"/>
      <c r="I23" s="536"/>
    </row>
    <row r="24" spans="2:9">
      <c r="B24" s="529">
        <v>3</v>
      </c>
      <c r="C24" s="531" t="s">
        <v>841</v>
      </c>
      <c r="D24" s="533"/>
      <c r="E24" s="533"/>
      <c r="F24" s="533"/>
    </row>
    <row r="25" spans="2:9">
      <c r="C25" s="529" t="s">
        <v>833</v>
      </c>
      <c r="D25" s="530">
        <v>16069</v>
      </c>
      <c r="E25" s="530">
        <v>25160</v>
      </c>
      <c r="F25" s="530">
        <f t="shared" si="1"/>
        <v>41229</v>
      </c>
    </row>
    <row r="26" spans="2:9">
      <c r="C26" s="529" t="s">
        <v>834</v>
      </c>
      <c r="D26" s="533">
        <v>11758.785</v>
      </c>
      <c r="E26" s="533">
        <v>20455.563000000002</v>
      </c>
      <c r="F26" s="530">
        <f t="shared" si="1"/>
        <v>32214.348000000002</v>
      </c>
      <c r="H26" s="534">
        <f>F26+E28</f>
        <v>35227.737000000001</v>
      </c>
      <c r="I26" s="534"/>
    </row>
    <row r="27" spans="2:9">
      <c r="C27" s="529" t="s">
        <v>836</v>
      </c>
      <c r="D27" s="533">
        <v>4310.2150000000001</v>
      </c>
      <c r="E27" s="533">
        <v>4704.4369999999981</v>
      </c>
      <c r="F27" s="530">
        <f>D27+E27</f>
        <v>9014.6519999999982</v>
      </c>
      <c r="H27" s="534">
        <f>F25-H26</f>
        <v>6001.262999999999</v>
      </c>
    </row>
    <row r="28" spans="2:9">
      <c r="E28" s="529">
        <v>3013.3890000000001</v>
      </c>
    </row>
    <row r="29" spans="2:9">
      <c r="E29" s="534">
        <f>E27-E28</f>
        <v>1691.047999999998</v>
      </c>
      <c r="F29" s="534">
        <f>D27+E29</f>
        <v>6001.2629999999981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H68"/>
  <sheetViews>
    <sheetView topLeftCell="A7" workbookViewId="0">
      <selection activeCell="I16" sqref="I16"/>
    </sheetView>
  </sheetViews>
  <sheetFormatPr defaultColWidth="8.89453125" defaultRowHeight="13.15"/>
  <cols>
    <col min="1" max="1" width="4" style="497" customWidth="1"/>
    <col min="2" max="2" width="30.1015625" style="449" customWidth="1"/>
    <col min="3" max="10" width="11" style="448" customWidth="1"/>
    <col min="11" max="34" width="10.41796875" style="448" customWidth="1"/>
    <col min="35" max="16384" width="8.89453125" style="448"/>
  </cols>
  <sheetData>
    <row r="1" spans="1:34">
      <c r="A1" s="607" t="s">
        <v>84</v>
      </c>
      <c r="B1" s="607"/>
      <c r="C1" s="607"/>
      <c r="I1" s="609" t="s">
        <v>279</v>
      </c>
      <c r="J1" s="609"/>
      <c r="K1" s="607" t="s">
        <v>84</v>
      </c>
      <c r="L1" s="607"/>
      <c r="M1" s="607"/>
      <c r="Q1" s="608"/>
      <c r="R1" s="608"/>
      <c r="S1" s="608"/>
      <c r="T1" s="608"/>
      <c r="U1" s="609" t="s">
        <v>279</v>
      </c>
      <c r="V1" s="609"/>
      <c r="W1" s="608" t="s">
        <v>84</v>
      </c>
      <c r="X1" s="608"/>
      <c r="Y1" s="608"/>
      <c r="Z1" s="608"/>
      <c r="AE1" s="608"/>
      <c r="AF1" s="608"/>
      <c r="AG1" s="609" t="s">
        <v>279</v>
      </c>
      <c r="AH1" s="609"/>
    </row>
    <row r="2" spans="1:34">
      <c r="H2" s="360"/>
      <c r="I2" s="360"/>
      <c r="K2" s="497"/>
      <c r="L2" s="449"/>
    </row>
    <row r="3" spans="1:34" ht="18.75" customHeight="1">
      <c r="A3" s="605" t="s">
        <v>803</v>
      </c>
      <c r="B3" s="605"/>
      <c r="C3" s="605"/>
      <c r="D3" s="605"/>
      <c r="E3" s="605"/>
      <c r="F3" s="605"/>
      <c r="G3" s="605"/>
      <c r="H3" s="605"/>
      <c r="I3" s="605"/>
      <c r="J3" s="605"/>
      <c r="K3" s="605" t="s">
        <v>803</v>
      </c>
      <c r="L3" s="605"/>
      <c r="M3" s="605"/>
      <c r="N3" s="605"/>
      <c r="O3" s="605"/>
      <c r="P3" s="605"/>
      <c r="Q3" s="605"/>
      <c r="R3" s="605"/>
      <c r="S3" s="605"/>
      <c r="T3" s="605"/>
      <c r="U3" s="605"/>
      <c r="V3" s="605"/>
      <c r="W3" s="605" t="s">
        <v>803</v>
      </c>
      <c r="X3" s="605"/>
      <c r="Y3" s="605"/>
      <c r="Z3" s="605"/>
      <c r="AA3" s="605"/>
      <c r="AB3" s="605"/>
      <c r="AC3" s="605"/>
      <c r="AD3" s="605"/>
      <c r="AE3" s="605"/>
      <c r="AF3" s="605"/>
      <c r="AG3" s="605"/>
      <c r="AH3" s="605"/>
    </row>
    <row r="4" spans="1:34" ht="10.15" customHeight="1">
      <c r="A4" s="450"/>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row>
    <row r="5" spans="1:34" ht="18.75" customHeight="1">
      <c r="A5" s="606" t="str">
        <f>'Cân đối thu chi'!A3:I3</f>
        <v>(Kèm theo Nghị quyết số .../NQ-HĐND ngày ... tháng ... năm 2024 của HĐND huyện Tu Mơ Rông)</v>
      </c>
      <c r="B5" s="606"/>
      <c r="C5" s="606"/>
      <c r="D5" s="606"/>
      <c r="E5" s="606"/>
      <c r="F5" s="606"/>
      <c r="G5" s="606"/>
      <c r="H5" s="606"/>
      <c r="I5" s="606"/>
      <c r="J5" s="606"/>
      <c r="K5" s="451"/>
      <c r="L5" s="451"/>
      <c r="M5" s="451"/>
      <c r="N5" s="451"/>
      <c r="O5" s="451"/>
      <c r="P5" s="451"/>
      <c r="Q5" s="451"/>
      <c r="R5" s="451"/>
      <c r="S5" s="451"/>
      <c r="T5" s="451"/>
      <c r="U5" s="451"/>
      <c r="V5" s="451"/>
      <c r="W5" s="451"/>
      <c r="X5" s="451"/>
      <c r="Y5" s="451"/>
      <c r="Z5" s="451"/>
      <c r="AA5" s="451"/>
      <c r="AB5" s="451"/>
      <c r="AC5" s="451"/>
      <c r="AD5" s="451"/>
      <c r="AE5" s="451"/>
      <c r="AF5" s="451"/>
      <c r="AG5" s="451"/>
      <c r="AH5" s="451"/>
    </row>
    <row r="6" spans="1:34" ht="25.5" customHeight="1">
      <c r="C6" s="360"/>
      <c r="D6" s="452"/>
      <c r="E6" s="360"/>
      <c r="F6" s="361"/>
      <c r="G6" s="360"/>
      <c r="H6" s="360"/>
      <c r="I6" s="594" t="s">
        <v>709</v>
      </c>
      <c r="J6" s="594"/>
      <c r="K6" s="481"/>
      <c r="L6" s="481"/>
      <c r="M6" s="361"/>
      <c r="Q6" s="589"/>
      <c r="R6" s="590"/>
      <c r="U6" s="601" t="s">
        <v>710</v>
      </c>
      <c r="V6" s="601"/>
      <c r="W6" s="604"/>
      <c r="X6" s="604"/>
      <c r="Y6" s="603"/>
      <c r="Z6" s="603"/>
      <c r="AE6" s="602"/>
      <c r="AF6" s="602"/>
      <c r="AG6" s="600" t="s">
        <v>710</v>
      </c>
      <c r="AH6" s="600"/>
    </row>
    <row r="7" spans="1:34" s="453" customFormat="1" ht="38.25" customHeight="1">
      <c r="A7" s="588" t="s">
        <v>66</v>
      </c>
      <c r="B7" s="596" t="s">
        <v>123</v>
      </c>
      <c r="C7" s="597" t="s">
        <v>92</v>
      </c>
      <c r="D7" s="598"/>
      <c r="E7" s="599"/>
      <c r="F7" s="596" t="s">
        <v>251</v>
      </c>
      <c r="G7" s="596"/>
      <c r="H7" s="596"/>
      <c r="I7" s="596"/>
      <c r="J7" s="596"/>
      <c r="K7" s="584" t="s">
        <v>125</v>
      </c>
      <c r="L7" s="585"/>
      <c r="M7" s="591" t="s">
        <v>124</v>
      </c>
      <c r="N7" s="592"/>
      <c r="O7" s="592"/>
      <c r="P7" s="592"/>
      <c r="Q7" s="592"/>
      <c r="R7" s="592"/>
      <c r="S7" s="592"/>
      <c r="T7" s="592"/>
      <c r="U7" s="592"/>
      <c r="V7" s="593"/>
      <c r="W7" s="591" t="s">
        <v>124</v>
      </c>
      <c r="X7" s="592"/>
      <c r="Y7" s="592"/>
      <c r="Z7" s="592"/>
      <c r="AA7" s="592"/>
      <c r="AB7" s="592"/>
      <c r="AC7" s="592"/>
      <c r="AD7" s="592"/>
      <c r="AE7" s="592"/>
      <c r="AF7" s="592"/>
      <c r="AG7" s="592"/>
      <c r="AH7" s="593"/>
    </row>
    <row r="8" spans="1:34" s="453" customFormat="1" ht="23.25" customHeight="1">
      <c r="A8" s="588"/>
      <c r="B8" s="596"/>
      <c r="C8" s="595" t="s">
        <v>135</v>
      </c>
      <c r="D8" s="595" t="s">
        <v>136</v>
      </c>
      <c r="E8" s="595" t="s">
        <v>854</v>
      </c>
      <c r="F8" s="588" t="s">
        <v>213</v>
      </c>
      <c r="G8" s="591" t="s">
        <v>95</v>
      </c>
      <c r="H8" s="592"/>
      <c r="I8" s="592"/>
      <c r="J8" s="593"/>
      <c r="K8" s="586"/>
      <c r="L8" s="587"/>
      <c r="M8" s="588" t="s">
        <v>126</v>
      </c>
      <c r="N8" s="588"/>
      <c r="O8" s="588" t="s">
        <v>127</v>
      </c>
      <c r="P8" s="588"/>
      <c r="Q8" s="588" t="s">
        <v>128</v>
      </c>
      <c r="R8" s="588"/>
      <c r="S8" s="588" t="s">
        <v>129</v>
      </c>
      <c r="T8" s="588"/>
      <c r="U8" s="588" t="s">
        <v>130</v>
      </c>
      <c r="V8" s="588"/>
      <c r="W8" s="588" t="s">
        <v>131</v>
      </c>
      <c r="X8" s="588"/>
      <c r="Y8" s="588" t="s">
        <v>132</v>
      </c>
      <c r="Z8" s="588"/>
      <c r="AA8" s="588" t="s">
        <v>42</v>
      </c>
      <c r="AB8" s="588"/>
      <c r="AC8" s="588" t="s">
        <v>43</v>
      </c>
      <c r="AD8" s="588"/>
      <c r="AE8" s="588" t="s">
        <v>133</v>
      </c>
      <c r="AF8" s="588"/>
      <c r="AG8" s="588" t="s">
        <v>134</v>
      </c>
      <c r="AH8" s="588"/>
    </row>
    <row r="9" spans="1:34" s="453" customFormat="1" ht="25.5">
      <c r="A9" s="588"/>
      <c r="B9" s="596"/>
      <c r="C9" s="595"/>
      <c r="D9" s="595"/>
      <c r="E9" s="595"/>
      <c r="F9" s="588"/>
      <c r="G9" s="498" t="s">
        <v>1</v>
      </c>
      <c r="H9" s="498" t="s">
        <v>137</v>
      </c>
      <c r="I9" s="498" t="s">
        <v>49</v>
      </c>
      <c r="J9" s="498" t="s">
        <v>50</v>
      </c>
      <c r="K9" s="499" t="s">
        <v>138</v>
      </c>
      <c r="L9" s="499" t="s">
        <v>139</v>
      </c>
      <c r="M9" s="499" t="s">
        <v>138</v>
      </c>
      <c r="N9" s="499" t="s">
        <v>139</v>
      </c>
      <c r="O9" s="499" t="s">
        <v>138</v>
      </c>
      <c r="P9" s="499" t="s">
        <v>139</v>
      </c>
      <c r="Q9" s="499" t="s">
        <v>138</v>
      </c>
      <c r="R9" s="499" t="s">
        <v>139</v>
      </c>
      <c r="S9" s="499" t="s">
        <v>138</v>
      </c>
      <c r="T9" s="499" t="s">
        <v>139</v>
      </c>
      <c r="U9" s="499" t="s">
        <v>138</v>
      </c>
      <c r="V9" s="499" t="s">
        <v>139</v>
      </c>
      <c r="W9" s="499" t="s">
        <v>138</v>
      </c>
      <c r="X9" s="499" t="s">
        <v>139</v>
      </c>
      <c r="Y9" s="499" t="s">
        <v>138</v>
      </c>
      <c r="Z9" s="499" t="s">
        <v>139</v>
      </c>
      <c r="AA9" s="499" t="s">
        <v>138</v>
      </c>
      <c r="AB9" s="499" t="s">
        <v>139</v>
      </c>
      <c r="AC9" s="499" t="s">
        <v>138</v>
      </c>
      <c r="AD9" s="499" t="s">
        <v>139</v>
      </c>
      <c r="AE9" s="499" t="s">
        <v>138</v>
      </c>
      <c r="AF9" s="499" t="s">
        <v>139</v>
      </c>
      <c r="AG9" s="499" t="s">
        <v>138</v>
      </c>
      <c r="AH9" s="499" t="s">
        <v>139</v>
      </c>
    </row>
    <row r="10" spans="1:34" s="453" customFormat="1" ht="12.75">
      <c r="A10" s="362"/>
      <c r="B10" s="363" t="s">
        <v>18</v>
      </c>
      <c r="C10" s="456">
        <f>C11+C64</f>
        <v>53300</v>
      </c>
      <c r="D10" s="456">
        <f t="shared" ref="D10:AH10" si="0">D11+D64</f>
        <v>6600</v>
      </c>
      <c r="E10" s="456">
        <f t="shared" si="0"/>
        <v>520180</v>
      </c>
      <c r="F10" s="456">
        <f>F11+F64</f>
        <v>520180</v>
      </c>
      <c r="G10" s="456">
        <f t="shared" si="0"/>
        <v>3195</v>
      </c>
      <c r="H10" s="456">
        <f t="shared" si="0"/>
        <v>12248</v>
      </c>
      <c r="I10" s="456">
        <f>I11+I64</f>
        <v>408382.65700000001</v>
      </c>
      <c r="J10" s="364">
        <f>J11+J64</f>
        <v>96354.342999999993</v>
      </c>
      <c r="K10" s="364">
        <f>K11+K64</f>
        <v>96444.342999999993</v>
      </c>
      <c r="L10" s="364">
        <f>L11+L64</f>
        <v>96354.342999999993</v>
      </c>
      <c r="M10" s="364">
        <f>M11+M64</f>
        <v>8181.7320000000009</v>
      </c>
      <c r="N10" s="364">
        <f t="shared" si="0"/>
        <v>8181.7320000000009</v>
      </c>
      <c r="O10" s="364">
        <f t="shared" si="0"/>
        <v>8719.2149999999983</v>
      </c>
      <c r="P10" s="364">
        <f t="shared" si="0"/>
        <v>8719.2149999999983</v>
      </c>
      <c r="Q10" s="364">
        <f>Q11+Q64</f>
        <v>9375.0779999999995</v>
      </c>
      <c r="R10" s="364">
        <f t="shared" si="0"/>
        <v>9285.0779999999995</v>
      </c>
      <c r="S10" s="364">
        <f t="shared" si="0"/>
        <v>8206.3369999999995</v>
      </c>
      <c r="T10" s="364">
        <f t="shared" si="0"/>
        <v>8206.3369999999995</v>
      </c>
      <c r="U10" s="364">
        <f t="shared" si="0"/>
        <v>7331.1409999999996</v>
      </c>
      <c r="V10" s="364">
        <f t="shared" si="0"/>
        <v>7331.1409999999996</v>
      </c>
      <c r="W10" s="364">
        <f t="shared" si="0"/>
        <v>8035.58</v>
      </c>
      <c r="X10" s="364">
        <f t="shared" si="0"/>
        <v>8035.58</v>
      </c>
      <c r="Y10" s="364">
        <f t="shared" si="0"/>
        <v>8971.4169999999995</v>
      </c>
      <c r="Z10" s="364">
        <f t="shared" si="0"/>
        <v>8971.4169999999995</v>
      </c>
      <c r="AA10" s="364">
        <f t="shared" si="0"/>
        <v>8898.6539999999986</v>
      </c>
      <c r="AB10" s="364">
        <f t="shared" si="0"/>
        <v>8898.6539999999986</v>
      </c>
      <c r="AC10" s="364">
        <f t="shared" si="0"/>
        <v>8482.8809999999994</v>
      </c>
      <c r="AD10" s="364">
        <f t="shared" si="0"/>
        <v>8482.8809999999994</v>
      </c>
      <c r="AE10" s="364">
        <f t="shared" si="0"/>
        <v>9676.5130000000008</v>
      </c>
      <c r="AF10" s="364">
        <f t="shared" si="0"/>
        <v>9676.5130000000008</v>
      </c>
      <c r="AG10" s="364">
        <f t="shared" si="0"/>
        <v>10565.794999999996</v>
      </c>
      <c r="AH10" s="364">
        <f t="shared" si="0"/>
        <v>10565.794999999996</v>
      </c>
    </row>
    <row r="11" spans="1:34" s="457" customFormat="1" ht="12.75">
      <c r="A11" s="454" t="s">
        <v>85</v>
      </c>
      <c r="B11" s="455" t="s">
        <v>140</v>
      </c>
      <c r="C11" s="456">
        <f t="shared" ref="C11:H11" si="1">C13+C17+C27+C31+C32+C33+C36+C44+C54+C55+C56+C57+C62+C63</f>
        <v>53300</v>
      </c>
      <c r="D11" s="456">
        <f t="shared" si="1"/>
        <v>6600</v>
      </c>
      <c r="E11" s="456">
        <f t="shared" si="1"/>
        <v>59900</v>
      </c>
      <c r="F11" s="456">
        <f t="shared" si="1"/>
        <v>59900</v>
      </c>
      <c r="G11" s="456">
        <f>G13+G17+G27+G31+G32+G33+G36+G44+G54+G55+G56+G57+G62+G63</f>
        <v>3195</v>
      </c>
      <c r="H11" s="456">
        <f t="shared" si="1"/>
        <v>12248</v>
      </c>
      <c r="I11" s="456">
        <f>I13+I17+I27+I31+I32+I33+I36+I44+I54+I55+I56+I57+I62+I63</f>
        <v>44217</v>
      </c>
      <c r="J11" s="456">
        <f>J13+J17+J27+J31+J32+J33+J36+J44+J54+J55+J56+J57+J62+J63</f>
        <v>240</v>
      </c>
      <c r="K11" s="456">
        <f>K13+K17+K27+K31+K32+K33+K36+K44+K54+K55+K57+K62+K63</f>
        <v>330</v>
      </c>
      <c r="L11" s="456">
        <f t="shared" ref="L11:AH11" si="2">L13+L17+L27+L31+L32+L33+L36+L44+L54+L55+L57+L62+L63</f>
        <v>240</v>
      </c>
      <c r="M11" s="456">
        <f t="shared" si="2"/>
        <v>20</v>
      </c>
      <c r="N11" s="456">
        <f t="shared" si="2"/>
        <v>20</v>
      </c>
      <c r="O11" s="456">
        <f t="shared" si="2"/>
        <v>19</v>
      </c>
      <c r="P11" s="456">
        <f t="shared" si="2"/>
        <v>19</v>
      </c>
      <c r="Q11" s="456">
        <f t="shared" si="2"/>
        <v>171</v>
      </c>
      <c r="R11" s="456">
        <f t="shared" si="2"/>
        <v>81</v>
      </c>
      <c r="S11" s="456">
        <f t="shared" si="2"/>
        <v>17</v>
      </c>
      <c r="T11" s="456">
        <f t="shared" si="2"/>
        <v>17</v>
      </c>
      <c r="U11" s="456">
        <f t="shared" si="2"/>
        <v>10</v>
      </c>
      <c r="V11" s="456">
        <f t="shared" si="2"/>
        <v>10</v>
      </c>
      <c r="W11" s="456">
        <f t="shared" si="2"/>
        <v>12</v>
      </c>
      <c r="X11" s="456">
        <f t="shared" si="2"/>
        <v>12</v>
      </c>
      <c r="Y11" s="456">
        <f t="shared" si="2"/>
        <v>11</v>
      </c>
      <c r="Z11" s="456">
        <f t="shared" si="2"/>
        <v>11</v>
      </c>
      <c r="AA11" s="456">
        <f t="shared" si="2"/>
        <v>23</v>
      </c>
      <c r="AB11" s="456">
        <f t="shared" si="2"/>
        <v>23</v>
      </c>
      <c r="AC11" s="456">
        <f t="shared" si="2"/>
        <v>11</v>
      </c>
      <c r="AD11" s="456">
        <f t="shared" si="2"/>
        <v>11</v>
      </c>
      <c r="AE11" s="456">
        <f t="shared" si="2"/>
        <v>21</v>
      </c>
      <c r="AF11" s="456">
        <f t="shared" si="2"/>
        <v>21</v>
      </c>
      <c r="AG11" s="456">
        <f t="shared" si="2"/>
        <v>15</v>
      </c>
      <c r="AH11" s="456">
        <f t="shared" si="2"/>
        <v>15</v>
      </c>
    </row>
    <row r="12" spans="1:34" s="457" customFormat="1" ht="12.75">
      <c r="A12" s="458" t="s">
        <v>86</v>
      </c>
      <c r="B12" s="459" t="s">
        <v>141</v>
      </c>
      <c r="C12" s="460">
        <f>C11-C31</f>
        <v>53300</v>
      </c>
      <c r="D12" s="460">
        <f>D11-D31</f>
        <v>6500</v>
      </c>
      <c r="E12" s="460">
        <f>C12+D12</f>
        <v>59800</v>
      </c>
      <c r="F12" s="460">
        <f t="shared" ref="F12:AH12" si="3">F11-F31</f>
        <v>59800</v>
      </c>
      <c r="G12" s="460">
        <f t="shared" ref="G12:L12" si="4">G11-G31</f>
        <v>3195</v>
      </c>
      <c r="H12" s="460">
        <f t="shared" si="4"/>
        <v>12236</v>
      </c>
      <c r="I12" s="460">
        <f t="shared" si="4"/>
        <v>44139</v>
      </c>
      <c r="J12" s="460">
        <f t="shared" si="4"/>
        <v>230</v>
      </c>
      <c r="K12" s="460">
        <f t="shared" si="4"/>
        <v>230</v>
      </c>
      <c r="L12" s="460">
        <f t="shared" si="4"/>
        <v>230</v>
      </c>
      <c r="M12" s="460">
        <f t="shared" si="3"/>
        <v>20</v>
      </c>
      <c r="N12" s="460">
        <f t="shared" si="3"/>
        <v>20</v>
      </c>
      <c r="O12" s="460">
        <f t="shared" si="3"/>
        <v>19</v>
      </c>
      <c r="P12" s="460">
        <f t="shared" si="3"/>
        <v>19</v>
      </c>
      <c r="Q12" s="460">
        <f t="shared" si="3"/>
        <v>71</v>
      </c>
      <c r="R12" s="460">
        <f t="shared" si="3"/>
        <v>71</v>
      </c>
      <c r="S12" s="460">
        <f t="shared" si="3"/>
        <v>17</v>
      </c>
      <c r="T12" s="460">
        <f t="shared" si="3"/>
        <v>17</v>
      </c>
      <c r="U12" s="460">
        <f t="shared" si="3"/>
        <v>10</v>
      </c>
      <c r="V12" s="460">
        <f t="shared" si="3"/>
        <v>10</v>
      </c>
      <c r="W12" s="460">
        <f t="shared" si="3"/>
        <v>12</v>
      </c>
      <c r="X12" s="460">
        <f t="shared" si="3"/>
        <v>12</v>
      </c>
      <c r="Y12" s="460">
        <f t="shared" si="3"/>
        <v>11</v>
      </c>
      <c r="Z12" s="460">
        <f t="shared" si="3"/>
        <v>11</v>
      </c>
      <c r="AA12" s="460">
        <f t="shared" si="3"/>
        <v>23</v>
      </c>
      <c r="AB12" s="460">
        <f t="shared" si="3"/>
        <v>23</v>
      </c>
      <c r="AC12" s="460">
        <f t="shared" si="3"/>
        <v>11</v>
      </c>
      <c r="AD12" s="460">
        <f t="shared" si="3"/>
        <v>11</v>
      </c>
      <c r="AE12" s="460">
        <f t="shared" si="3"/>
        <v>21</v>
      </c>
      <c r="AF12" s="460">
        <f t="shared" si="3"/>
        <v>21</v>
      </c>
      <c r="AG12" s="460">
        <f t="shared" si="3"/>
        <v>15</v>
      </c>
      <c r="AH12" s="460">
        <f t="shared" si="3"/>
        <v>15</v>
      </c>
    </row>
    <row r="13" spans="1:34" s="453" customFormat="1" ht="12.75">
      <c r="A13" s="461">
        <v>1</v>
      </c>
      <c r="B13" s="462" t="s">
        <v>142</v>
      </c>
      <c r="C13" s="460">
        <f>C14+C16</f>
        <v>0</v>
      </c>
      <c r="D13" s="460">
        <f>SUM(D14:D16)</f>
        <v>600</v>
      </c>
      <c r="E13" s="460">
        <f>SUM(E14:E16)</f>
        <v>600</v>
      </c>
      <c r="F13" s="460">
        <f>SUM(F14:F16)</f>
        <v>600</v>
      </c>
      <c r="G13" s="460"/>
      <c r="H13" s="460">
        <f>SUM(H14:H16)</f>
        <v>510</v>
      </c>
      <c r="I13" s="460">
        <f>SUM(I14:I16)</f>
        <v>90</v>
      </c>
      <c r="J13" s="460">
        <f t="shared" ref="J13:AH13" si="5">J14+J16</f>
        <v>0</v>
      </c>
      <c r="K13" s="460">
        <f t="shared" si="5"/>
        <v>0</v>
      </c>
      <c r="L13" s="460">
        <f t="shared" si="5"/>
        <v>0</v>
      </c>
      <c r="M13" s="460">
        <f t="shared" si="5"/>
        <v>0</v>
      </c>
      <c r="N13" s="460">
        <f t="shared" si="5"/>
        <v>0</v>
      </c>
      <c r="O13" s="460">
        <f t="shared" si="5"/>
        <v>0</v>
      </c>
      <c r="P13" s="460">
        <f t="shared" si="5"/>
        <v>0</v>
      </c>
      <c r="Q13" s="460">
        <f t="shared" si="5"/>
        <v>0</v>
      </c>
      <c r="R13" s="460">
        <f t="shared" si="5"/>
        <v>0</v>
      </c>
      <c r="S13" s="460">
        <f t="shared" si="5"/>
        <v>0</v>
      </c>
      <c r="T13" s="460">
        <f t="shared" si="5"/>
        <v>0</v>
      </c>
      <c r="U13" s="460">
        <f t="shared" si="5"/>
        <v>0</v>
      </c>
      <c r="V13" s="460">
        <f t="shared" si="5"/>
        <v>0</v>
      </c>
      <c r="W13" s="460">
        <f t="shared" si="5"/>
        <v>0</v>
      </c>
      <c r="X13" s="460">
        <f t="shared" si="5"/>
        <v>0</v>
      </c>
      <c r="Y13" s="460">
        <f t="shared" si="5"/>
        <v>0</v>
      </c>
      <c r="Z13" s="460">
        <f t="shared" si="5"/>
        <v>0</v>
      </c>
      <c r="AA13" s="460">
        <f t="shared" si="5"/>
        <v>0</v>
      </c>
      <c r="AB13" s="460">
        <f t="shared" si="5"/>
        <v>0</v>
      </c>
      <c r="AC13" s="460">
        <f t="shared" si="5"/>
        <v>0</v>
      </c>
      <c r="AD13" s="460">
        <f t="shared" si="5"/>
        <v>0</v>
      </c>
      <c r="AE13" s="460">
        <f t="shared" si="5"/>
        <v>0</v>
      </c>
      <c r="AF13" s="460">
        <f t="shared" si="5"/>
        <v>0</v>
      </c>
      <c r="AG13" s="460">
        <f t="shared" si="5"/>
        <v>0</v>
      </c>
      <c r="AH13" s="460">
        <f t="shared" si="5"/>
        <v>0</v>
      </c>
    </row>
    <row r="14" spans="1:34">
      <c r="A14" s="463" t="s">
        <v>143</v>
      </c>
      <c r="B14" s="464" t="s">
        <v>144</v>
      </c>
      <c r="C14" s="465"/>
      <c r="D14" s="465">
        <v>0</v>
      </c>
      <c r="E14" s="465">
        <f t="shared" ref="E14:E19" si="6">C14+D14</f>
        <v>0</v>
      </c>
      <c r="F14" s="465">
        <f>H14+I14+J14</f>
        <v>0</v>
      </c>
      <c r="G14" s="465"/>
      <c r="H14" s="465">
        <v>0</v>
      </c>
      <c r="I14" s="465">
        <v>0</v>
      </c>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row>
    <row r="15" spans="1:34">
      <c r="A15" s="463" t="s">
        <v>145</v>
      </c>
      <c r="B15" s="464" t="s">
        <v>149</v>
      </c>
      <c r="C15" s="465"/>
      <c r="D15" s="465">
        <v>600</v>
      </c>
      <c r="E15" s="465">
        <f t="shared" si="6"/>
        <v>600</v>
      </c>
      <c r="F15" s="465">
        <f>H15+I15+J15</f>
        <v>600</v>
      </c>
      <c r="G15" s="465"/>
      <c r="H15" s="466">
        <v>510</v>
      </c>
      <c r="I15" s="466">
        <v>90</v>
      </c>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row>
    <row r="16" spans="1:34">
      <c r="A16" s="463" t="s">
        <v>2</v>
      </c>
      <c r="B16" s="464" t="s">
        <v>146</v>
      </c>
      <c r="C16" s="465"/>
      <c r="D16" s="465">
        <v>0</v>
      </c>
      <c r="E16" s="460">
        <f t="shared" si="6"/>
        <v>0</v>
      </c>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row>
    <row r="17" spans="1:34" s="453" customFormat="1" ht="12.75">
      <c r="A17" s="461">
        <v>2</v>
      </c>
      <c r="B17" s="462" t="s">
        <v>147</v>
      </c>
      <c r="C17" s="460">
        <f>C18+C19+C22+C26</f>
        <v>44600</v>
      </c>
      <c r="D17" s="460">
        <f t="shared" ref="D17:AH17" si="7">D18+D19+D22+D26</f>
        <v>3000</v>
      </c>
      <c r="E17" s="460">
        <f t="shared" si="6"/>
        <v>47600</v>
      </c>
      <c r="F17" s="460">
        <f>H17+I17+J17</f>
        <v>47600</v>
      </c>
      <c r="G17" s="460"/>
      <c r="H17" s="460">
        <f>H18+H19+H22+H26</f>
        <v>10072</v>
      </c>
      <c r="I17" s="460">
        <f>I18+I19+I22+I26</f>
        <v>37528</v>
      </c>
      <c r="J17" s="460">
        <f t="shared" si="7"/>
        <v>0</v>
      </c>
      <c r="K17" s="460">
        <f t="shared" si="7"/>
        <v>0</v>
      </c>
      <c r="L17" s="460">
        <f t="shared" si="7"/>
        <v>0</v>
      </c>
      <c r="M17" s="460">
        <f t="shared" si="7"/>
        <v>0</v>
      </c>
      <c r="N17" s="460">
        <f t="shared" si="7"/>
        <v>0</v>
      </c>
      <c r="O17" s="460">
        <f t="shared" si="7"/>
        <v>0</v>
      </c>
      <c r="P17" s="460">
        <f t="shared" si="7"/>
        <v>0</v>
      </c>
      <c r="Q17" s="460">
        <f t="shared" si="7"/>
        <v>0</v>
      </c>
      <c r="R17" s="460">
        <f t="shared" si="7"/>
        <v>0</v>
      </c>
      <c r="S17" s="460">
        <f t="shared" si="7"/>
        <v>0</v>
      </c>
      <c r="T17" s="460">
        <f t="shared" si="7"/>
        <v>0</v>
      </c>
      <c r="U17" s="460">
        <f t="shared" si="7"/>
        <v>0</v>
      </c>
      <c r="V17" s="460">
        <f t="shared" si="7"/>
        <v>0</v>
      </c>
      <c r="W17" s="460">
        <f t="shared" si="7"/>
        <v>0</v>
      </c>
      <c r="X17" s="460">
        <f t="shared" si="7"/>
        <v>0</v>
      </c>
      <c r="Y17" s="460">
        <f t="shared" si="7"/>
        <v>0</v>
      </c>
      <c r="Z17" s="460">
        <f t="shared" si="7"/>
        <v>0</v>
      </c>
      <c r="AA17" s="460">
        <f t="shared" si="7"/>
        <v>0</v>
      </c>
      <c r="AB17" s="460">
        <f t="shared" si="7"/>
        <v>0</v>
      </c>
      <c r="AC17" s="460">
        <f t="shared" si="7"/>
        <v>0</v>
      </c>
      <c r="AD17" s="460">
        <f t="shared" si="7"/>
        <v>0</v>
      </c>
      <c r="AE17" s="460">
        <f t="shared" si="7"/>
        <v>0</v>
      </c>
      <c r="AF17" s="460">
        <f t="shared" si="7"/>
        <v>0</v>
      </c>
      <c r="AG17" s="460">
        <f t="shared" si="7"/>
        <v>0</v>
      </c>
      <c r="AH17" s="460">
        <f t="shared" si="7"/>
        <v>0</v>
      </c>
    </row>
    <row r="18" spans="1:34">
      <c r="A18" s="467" t="s">
        <v>148</v>
      </c>
      <c r="B18" s="468" t="s">
        <v>149</v>
      </c>
      <c r="C18" s="465">
        <v>400</v>
      </c>
      <c r="D18" s="465">
        <v>100</v>
      </c>
      <c r="E18" s="465">
        <f t="shared" si="6"/>
        <v>500</v>
      </c>
      <c r="F18" s="465">
        <f>H18+I18+J18</f>
        <v>500</v>
      </c>
      <c r="G18" s="465"/>
      <c r="H18" s="465">
        <f>E18*0.15</f>
        <v>75</v>
      </c>
      <c r="I18" s="465">
        <f>E18*0.85</f>
        <v>425</v>
      </c>
      <c r="J18" s="465">
        <v>0</v>
      </c>
      <c r="K18" s="465"/>
      <c r="L18" s="465">
        <f>N18+P18+R18+T18+V18+X18+Z18+AB18+AD18+AF18+AH18</f>
        <v>0</v>
      </c>
      <c r="M18" s="465"/>
      <c r="N18" s="465"/>
      <c r="O18" s="465"/>
      <c r="P18" s="465"/>
      <c r="Q18" s="465"/>
      <c r="R18" s="465"/>
      <c r="S18" s="465"/>
      <c r="T18" s="465"/>
      <c r="U18" s="465"/>
      <c r="V18" s="465"/>
      <c r="W18" s="465"/>
      <c r="X18" s="465"/>
      <c r="Y18" s="465"/>
      <c r="Z18" s="465"/>
      <c r="AA18" s="465"/>
      <c r="AB18" s="465"/>
      <c r="AC18" s="465"/>
      <c r="AD18" s="465"/>
      <c r="AE18" s="465"/>
      <c r="AF18" s="465"/>
      <c r="AG18" s="465"/>
      <c r="AH18" s="465"/>
    </row>
    <row r="19" spans="1:34">
      <c r="A19" s="467" t="s">
        <v>150</v>
      </c>
      <c r="B19" s="468" t="s">
        <v>151</v>
      </c>
      <c r="C19" s="465">
        <v>20100</v>
      </c>
      <c r="D19" s="465">
        <v>300</v>
      </c>
      <c r="E19" s="465">
        <f t="shared" si="6"/>
        <v>20400</v>
      </c>
      <c r="F19" s="465">
        <f>H19+I19+J19</f>
        <v>20400</v>
      </c>
      <c r="G19" s="465"/>
      <c r="H19" s="469">
        <f>H20+H21</f>
        <v>6000</v>
      </c>
      <c r="I19" s="469">
        <f>I20+I21</f>
        <v>14400</v>
      </c>
      <c r="J19" s="465">
        <f>SUM(J20:J21)</f>
        <v>0</v>
      </c>
      <c r="K19" s="465"/>
      <c r="L19" s="465">
        <f>SUM(L20:L21)</f>
        <v>0</v>
      </c>
      <c r="M19" s="465"/>
      <c r="N19" s="465"/>
      <c r="O19" s="465"/>
      <c r="P19" s="465"/>
      <c r="Q19" s="465"/>
      <c r="R19" s="465"/>
      <c r="S19" s="465"/>
      <c r="T19" s="465"/>
      <c r="U19" s="465"/>
      <c r="V19" s="465"/>
      <c r="W19" s="465"/>
      <c r="X19" s="465"/>
      <c r="Y19" s="465"/>
      <c r="Z19" s="465"/>
      <c r="AA19" s="465"/>
      <c r="AB19" s="465"/>
      <c r="AC19" s="465"/>
      <c r="AD19" s="465"/>
      <c r="AE19" s="465"/>
      <c r="AF19" s="465"/>
      <c r="AG19" s="465"/>
      <c r="AH19" s="465"/>
    </row>
    <row r="20" spans="1:34" s="472" customFormat="1">
      <c r="A20" s="470"/>
      <c r="B20" s="471" t="s">
        <v>152</v>
      </c>
      <c r="C20" s="469">
        <v>20000</v>
      </c>
      <c r="D20" s="469">
        <v>0</v>
      </c>
      <c r="E20" s="469">
        <f t="shared" ref="E20:E34" si="8">C20+D20</f>
        <v>20000</v>
      </c>
      <c r="F20" s="469">
        <f>H20+I20+J20</f>
        <v>20000</v>
      </c>
      <c r="G20" s="469"/>
      <c r="H20" s="469">
        <f>E20*0.3</f>
        <v>6000</v>
      </c>
      <c r="I20" s="469">
        <f>E20*0.7</f>
        <v>14000</v>
      </c>
      <c r="J20" s="469">
        <v>0</v>
      </c>
      <c r="K20" s="469"/>
      <c r="L20" s="469">
        <f t="shared" ref="L20:L26" si="9">N20+P20+R20+T20+V20+X20+Z20+AB20+AD20+AF20+AH20</f>
        <v>0</v>
      </c>
      <c r="M20" s="469"/>
      <c r="N20" s="469"/>
      <c r="O20" s="469"/>
      <c r="P20" s="469"/>
      <c r="Q20" s="469"/>
      <c r="R20" s="469"/>
      <c r="S20" s="469"/>
      <c r="T20" s="469"/>
      <c r="U20" s="469"/>
      <c r="V20" s="469"/>
      <c r="W20" s="469"/>
      <c r="X20" s="469"/>
      <c r="Y20" s="469"/>
      <c r="Z20" s="469"/>
      <c r="AA20" s="469"/>
      <c r="AB20" s="469"/>
      <c r="AC20" s="469"/>
      <c r="AD20" s="469"/>
      <c r="AE20" s="469"/>
      <c r="AF20" s="469"/>
      <c r="AG20" s="469"/>
      <c r="AH20" s="469"/>
    </row>
    <row r="21" spans="1:34" s="472" customFormat="1">
      <c r="A21" s="473"/>
      <c r="B21" s="474" t="s">
        <v>3</v>
      </c>
      <c r="C21" s="469">
        <v>100</v>
      </c>
      <c r="D21" s="469">
        <v>300</v>
      </c>
      <c r="E21" s="469">
        <f t="shared" si="8"/>
        <v>400</v>
      </c>
      <c r="F21" s="469">
        <f>H21+I21</f>
        <v>400</v>
      </c>
      <c r="G21" s="469"/>
      <c r="H21" s="469">
        <v>0</v>
      </c>
      <c r="I21" s="469">
        <f>E21</f>
        <v>400</v>
      </c>
      <c r="J21" s="469">
        <v>0</v>
      </c>
      <c r="K21" s="469"/>
      <c r="L21" s="469">
        <f t="shared" si="9"/>
        <v>0</v>
      </c>
      <c r="M21" s="469"/>
      <c r="N21" s="469"/>
      <c r="O21" s="469"/>
      <c r="P21" s="469"/>
      <c r="Q21" s="469"/>
      <c r="R21" s="469"/>
      <c r="S21" s="469"/>
      <c r="T21" s="469"/>
      <c r="U21" s="469"/>
      <c r="V21" s="469"/>
      <c r="W21" s="469"/>
      <c r="X21" s="469"/>
      <c r="Y21" s="469"/>
      <c r="Z21" s="469"/>
      <c r="AA21" s="469"/>
      <c r="AB21" s="469"/>
      <c r="AC21" s="469"/>
      <c r="AD21" s="469"/>
      <c r="AE21" s="469"/>
      <c r="AF21" s="469"/>
      <c r="AG21" s="469"/>
      <c r="AH21" s="469"/>
    </row>
    <row r="22" spans="1:34">
      <c r="A22" s="467" t="s">
        <v>153</v>
      </c>
      <c r="B22" s="468" t="s">
        <v>154</v>
      </c>
      <c r="C22" s="465">
        <v>24100</v>
      </c>
      <c r="D22" s="465">
        <v>2550</v>
      </c>
      <c r="E22" s="465">
        <f>C22+D22</f>
        <v>26650</v>
      </c>
      <c r="F22" s="465">
        <f>H22+I22</f>
        <v>26650</v>
      </c>
      <c r="G22" s="465"/>
      <c r="H22" s="465">
        <v>3997</v>
      </c>
      <c r="I22" s="465">
        <v>22653</v>
      </c>
      <c r="J22" s="465">
        <f>SUM(J23:J25)</f>
        <v>0</v>
      </c>
      <c r="K22" s="465"/>
      <c r="L22" s="465">
        <f>SUM(L23:L25)</f>
        <v>0</v>
      </c>
      <c r="M22" s="465"/>
      <c r="N22" s="465"/>
      <c r="O22" s="465"/>
      <c r="P22" s="465"/>
      <c r="Q22" s="465"/>
      <c r="R22" s="465"/>
      <c r="S22" s="465"/>
      <c r="T22" s="465"/>
      <c r="U22" s="465"/>
      <c r="V22" s="465"/>
      <c r="W22" s="465"/>
      <c r="X22" s="465"/>
      <c r="Y22" s="465"/>
      <c r="Z22" s="465"/>
      <c r="AA22" s="465"/>
      <c r="AB22" s="465"/>
      <c r="AC22" s="465"/>
      <c r="AD22" s="465"/>
      <c r="AE22" s="465"/>
      <c r="AF22" s="465"/>
      <c r="AG22" s="465"/>
      <c r="AH22" s="465"/>
    </row>
    <row r="23" spans="1:34" s="472" customFormat="1">
      <c r="A23" s="470" t="s">
        <v>102</v>
      </c>
      <c r="B23" s="471" t="s">
        <v>155</v>
      </c>
      <c r="C23" s="469">
        <v>0</v>
      </c>
      <c r="D23" s="469">
        <v>0</v>
      </c>
      <c r="E23" s="465">
        <f t="shared" si="8"/>
        <v>0</v>
      </c>
      <c r="F23" s="465">
        <f t="shared" ref="F23:F28" si="10">H23+I23</f>
        <v>0</v>
      </c>
      <c r="G23" s="465"/>
      <c r="H23" s="469">
        <f>E23*0.1</f>
        <v>0</v>
      </c>
      <c r="I23" s="469">
        <f>E23*0.9</f>
        <v>0</v>
      </c>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row>
    <row r="24" spans="1:34" s="472" customFormat="1">
      <c r="A24" s="470" t="s">
        <v>102</v>
      </c>
      <c r="B24" s="471" t="s">
        <v>156</v>
      </c>
      <c r="C24" s="469"/>
      <c r="D24" s="469">
        <v>0</v>
      </c>
      <c r="E24" s="465">
        <f t="shared" si="8"/>
        <v>0</v>
      </c>
      <c r="F24" s="465">
        <f t="shared" si="10"/>
        <v>0</v>
      </c>
      <c r="G24" s="465"/>
      <c r="H24" s="469">
        <f>E24*0.1</f>
        <v>0</v>
      </c>
      <c r="I24" s="469">
        <f>E24*0.9</f>
        <v>0</v>
      </c>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row>
    <row r="25" spans="1:34" s="472" customFormat="1" ht="15.85" customHeight="1">
      <c r="A25" s="470" t="s">
        <v>102</v>
      </c>
      <c r="B25" s="471" t="s">
        <v>4</v>
      </c>
      <c r="C25" s="469"/>
      <c r="D25" s="469">
        <v>0</v>
      </c>
      <c r="E25" s="469">
        <f t="shared" si="8"/>
        <v>0</v>
      </c>
      <c r="F25" s="469">
        <f>H25+I2</f>
        <v>0</v>
      </c>
      <c r="G25" s="469"/>
      <c r="H25" s="469">
        <f>E25*0.1</f>
        <v>0</v>
      </c>
      <c r="I25" s="469">
        <f>E25*0.9</f>
        <v>0</v>
      </c>
      <c r="J25" s="469">
        <v>0</v>
      </c>
      <c r="K25" s="469"/>
      <c r="L25" s="469">
        <f t="shared" si="9"/>
        <v>0</v>
      </c>
      <c r="M25" s="469"/>
      <c r="N25" s="469"/>
      <c r="O25" s="469"/>
      <c r="P25" s="469"/>
      <c r="Q25" s="469"/>
      <c r="R25" s="469"/>
      <c r="S25" s="469"/>
      <c r="T25" s="469"/>
      <c r="U25" s="469"/>
      <c r="V25" s="469"/>
      <c r="W25" s="469"/>
      <c r="X25" s="469"/>
      <c r="Y25" s="469"/>
      <c r="Z25" s="469"/>
      <c r="AA25" s="469"/>
      <c r="AB25" s="469"/>
      <c r="AC25" s="469"/>
      <c r="AD25" s="469"/>
      <c r="AE25" s="469"/>
      <c r="AF25" s="469"/>
      <c r="AG25" s="469"/>
      <c r="AH25" s="469"/>
    </row>
    <row r="26" spans="1:34" ht="15.85" customHeight="1">
      <c r="A26" s="467" t="s">
        <v>157</v>
      </c>
      <c r="B26" s="468" t="s">
        <v>158</v>
      </c>
      <c r="C26" s="465"/>
      <c r="D26" s="465">
        <v>50</v>
      </c>
      <c r="E26" s="465">
        <f t="shared" si="8"/>
        <v>50</v>
      </c>
      <c r="F26" s="465">
        <f>H26+I26</f>
        <v>50</v>
      </c>
      <c r="G26" s="465"/>
      <c r="H26" s="465"/>
      <c r="I26" s="465">
        <v>50</v>
      </c>
      <c r="J26" s="465">
        <v>0</v>
      </c>
      <c r="K26" s="465"/>
      <c r="L26" s="465">
        <f t="shared" si="9"/>
        <v>0</v>
      </c>
      <c r="M26" s="465"/>
      <c r="N26" s="465"/>
      <c r="O26" s="465"/>
      <c r="P26" s="465"/>
      <c r="Q26" s="465"/>
      <c r="R26" s="465"/>
      <c r="S26" s="465"/>
      <c r="T26" s="465"/>
      <c r="U26" s="465"/>
      <c r="V26" s="465"/>
      <c r="W26" s="465"/>
      <c r="X26" s="465"/>
      <c r="Y26" s="465"/>
      <c r="Z26" s="465"/>
      <c r="AA26" s="465"/>
      <c r="AB26" s="465"/>
      <c r="AC26" s="465"/>
      <c r="AD26" s="465"/>
      <c r="AE26" s="465"/>
      <c r="AF26" s="465"/>
      <c r="AG26" s="465"/>
      <c r="AH26" s="465"/>
    </row>
    <row r="27" spans="1:34" s="453" customFormat="1" ht="15.85" customHeight="1">
      <c r="A27" s="458">
        <v>3</v>
      </c>
      <c r="B27" s="475" t="s">
        <v>159</v>
      </c>
      <c r="C27" s="460">
        <v>390</v>
      </c>
      <c r="D27" s="460">
        <v>500</v>
      </c>
      <c r="E27" s="460">
        <f t="shared" si="8"/>
        <v>890</v>
      </c>
      <c r="F27" s="460">
        <f>H27+I27</f>
        <v>890</v>
      </c>
      <c r="G27" s="460"/>
      <c r="H27" s="460">
        <f>E27*0.1</f>
        <v>89</v>
      </c>
      <c r="I27" s="460">
        <f>E27*0.9</f>
        <v>801</v>
      </c>
      <c r="J27" s="460">
        <f t="shared" ref="J27:AH27" si="11">SUM(J28:J30)</f>
        <v>0</v>
      </c>
      <c r="K27" s="460">
        <f>SUM(K28:K30)</f>
        <v>0</v>
      </c>
      <c r="L27" s="460">
        <f t="shared" si="11"/>
        <v>0</v>
      </c>
      <c r="M27" s="460">
        <f t="shared" si="11"/>
        <v>0</v>
      </c>
      <c r="N27" s="460">
        <f t="shared" si="11"/>
        <v>0</v>
      </c>
      <c r="O27" s="460">
        <f t="shared" si="11"/>
        <v>0</v>
      </c>
      <c r="P27" s="460">
        <f t="shared" si="11"/>
        <v>0</v>
      </c>
      <c r="Q27" s="460">
        <f t="shared" si="11"/>
        <v>0</v>
      </c>
      <c r="R27" s="460">
        <f t="shared" si="11"/>
        <v>0</v>
      </c>
      <c r="S27" s="460">
        <f t="shared" si="11"/>
        <v>0</v>
      </c>
      <c r="T27" s="460">
        <f t="shared" si="11"/>
        <v>0</v>
      </c>
      <c r="U27" s="460">
        <f t="shared" si="11"/>
        <v>0</v>
      </c>
      <c r="V27" s="460">
        <f t="shared" si="11"/>
        <v>0</v>
      </c>
      <c r="W27" s="460">
        <f t="shared" si="11"/>
        <v>0</v>
      </c>
      <c r="X27" s="460">
        <f t="shared" si="11"/>
        <v>0</v>
      </c>
      <c r="Y27" s="460">
        <f t="shared" si="11"/>
        <v>0</v>
      </c>
      <c r="Z27" s="460">
        <f t="shared" si="11"/>
        <v>0</v>
      </c>
      <c r="AA27" s="460">
        <f t="shared" si="11"/>
        <v>0</v>
      </c>
      <c r="AB27" s="460">
        <f t="shared" si="11"/>
        <v>0</v>
      </c>
      <c r="AC27" s="460">
        <f t="shared" si="11"/>
        <v>0</v>
      </c>
      <c r="AD27" s="460">
        <f t="shared" si="11"/>
        <v>0</v>
      </c>
      <c r="AE27" s="460">
        <f t="shared" si="11"/>
        <v>0</v>
      </c>
      <c r="AF27" s="460">
        <f t="shared" si="11"/>
        <v>0</v>
      </c>
      <c r="AG27" s="460">
        <f t="shared" si="11"/>
        <v>0</v>
      </c>
      <c r="AH27" s="460">
        <f t="shared" si="11"/>
        <v>0</v>
      </c>
    </row>
    <row r="28" spans="1:34" s="472" customFormat="1">
      <c r="A28" s="365" t="s">
        <v>102</v>
      </c>
      <c r="B28" s="366" t="s">
        <v>160</v>
      </c>
      <c r="C28" s="469"/>
      <c r="D28" s="469"/>
      <c r="E28" s="465">
        <f t="shared" si="8"/>
        <v>0</v>
      </c>
      <c r="F28" s="469">
        <f t="shared" si="10"/>
        <v>0</v>
      </c>
      <c r="G28" s="469"/>
      <c r="H28" s="469">
        <f>E28*0.1</f>
        <v>0</v>
      </c>
      <c r="I28" s="469">
        <f>E28*0.9</f>
        <v>0</v>
      </c>
      <c r="J28" s="469"/>
      <c r="K28" s="465"/>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row>
    <row r="29" spans="1:34" s="472" customFormat="1">
      <c r="A29" s="365" t="s">
        <v>102</v>
      </c>
      <c r="B29" s="366" t="s">
        <v>161</v>
      </c>
      <c r="C29" s="469"/>
      <c r="D29" s="469"/>
      <c r="E29" s="465">
        <f t="shared" si="8"/>
        <v>0</v>
      </c>
      <c r="F29" s="469">
        <f>H29+I29</f>
        <v>0</v>
      </c>
      <c r="G29" s="469"/>
      <c r="H29" s="469">
        <f>E29*0.1</f>
        <v>0</v>
      </c>
      <c r="I29" s="469">
        <f>E29*0.9</f>
        <v>0</v>
      </c>
      <c r="J29" s="469"/>
      <c r="K29" s="465"/>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row>
    <row r="30" spans="1:34" s="472" customFormat="1">
      <c r="A30" s="365" t="s">
        <v>102</v>
      </c>
      <c r="B30" s="366" t="s">
        <v>156</v>
      </c>
      <c r="C30" s="469"/>
      <c r="D30" s="469"/>
      <c r="E30" s="465">
        <f t="shared" si="8"/>
        <v>0</v>
      </c>
      <c r="F30" s="469">
        <f>H30+I30</f>
        <v>0</v>
      </c>
      <c r="G30" s="469"/>
      <c r="H30" s="469">
        <f>E30*0.1</f>
        <v>0</v>
      </c>
      <c r="I30" s="469">
        <f>E30*0.9</f>
        <v>0</v>
      </c>
      <c r="J30" s="469"/>
      <c r="K30" s="465"/>
      <c r="L30" s="469"/>
      <c r="M30" s="465"/>
      <c r="N30" s="469"/>
      <c r="O30" s="469"/>
      <c r="P30" s="469"/>
      <c r="Q30" s="469"/>
      <c r="R30" s="469"/>
      <c r="S30" s="469"/>
      <c r="T30" s="469"/>
      <c r="U30" s="469"/>
      <c r="V30" s="469"/>
      <c r="W30" s="469"/>
      <c r="X30" s="469"/>
      <c r="Y30" s="469"/>
      <c r="Z30" s="469"/>
      <c r="AA30" s="469"/>
      <c r="AB30" s="469"/>
      <c r="AC30" s="469"/>
      <c r="AD30" s="469"/>
      <c r="AE30" s="469"/>
      <c r="AF30" s="469"/>
      <c r="AG30" s="469"/>
      <c r="AH30" s="469"/>
    </row>
    <row r="31" spans="1:34" s="453" customFormat="1" ht="12.75">
      <c r="A31" s="458">
        <v>4</v>
      </c>
      <c r="B31" s="475" t="s">
        <v>162</v>
      </c>
      <c r="C31" s="460"/>
      <c r="D31" s="460">
        <v>100</v>
      </c>
      <c r="E31" s="460">
        <f t="shared" si="8"/>
        <v>100</v>
      </c>
      <c r="F31" s="460">
        <f>H31+I31+J31</f>
        <v>100</v>
      </c>
      <c r="G31" s="460"/>
      <c r="H31" s="460">
        <f>+E31*0.12</f>
        <v>12</v>
      </c>
      <c r="I31" s="460">
        <f>+E31*0.78</f>
        <v>78</v>
      </c>
      <c r="J31" s="460">
        <f>E31*0.1</f>
        <v>10</v>
      </c>
      <c r="K31" s="460">
        <f>M31+O31+Q31+S31+U31+W31+Y31+AA31+AC31+AE31+AG31</f>
        <v>100</v>
      </c>
      <c r="L31" s="460">
        <f>N31+P31+R31+T31+V31+X31+Z31+AB31+AD31+AF31+AH31</f>
        <v>10</v>
      </c>
      <c r="M31" s="460"/>
      <c r="N31" s="460"/>
      <c r="O31" s="460"/>
      <c r="P31" s="460"/>
      <c r="Q31" s="460">
        <v>100</v>
      </c>
      <c r="R31" s="460">
        <f>Q31*10%</f>
        <v>10</v>
      </c>
      <c r="S31" s="460"/>
      <c r="T31" s="460"/>
      <c r="U31" s="460"/>
      <c r="V31" s="460"/>
      <c r="W31" s="460"/>
      <c r="X31" s="460"/>
      <c r="Y31" s="460"/>
      <c r="Z31" s="460"/>
      <c r="AA31" s="460"/>
      <c r="AB31" s="460"/>
      <c r="AC31" s="460"/>
      <c r="AD31" s="460"/>
      <c r="AE31" s="460"/>
      <c r="AF31" s="460"/>
      <c r="AG31" s="460"/>
      <c r="AH31" s="460"/>
    </row>
    <row r="32" spans="1:34" s="453" customFormat="1" ht="12.75">
      <c r="A32" s="458">
        <v>5</v>
      </c>
      <c r="B32" s="475" t="s">
        <v>163</v>
      </c>
      <c r="C32" s="460"/>
      <c r="D32" s="460"/>
      <c r="E32" s="460">
        <f t="shared" si="8"/>
        <v>0</v>
      </c>
      <c r="F32" s="460">
        <f>H32+I32+J32</f>
        <v>0</v>
      </c>
      <c r="G32" s="460"/>
      <c r="H32" s="460">
        <v>0</v>
      </c>
      <c r="I32" s="460">
        <v>0</v>
      </c>
      <c r="J32" s="460">
        <f>E32*1</f>
        <v>0</v>
      </c>
      <c r="K32" s="460">
        <f t="shared" ref="K32:L35" si="12">M32+O32+Q32+S32+U32+W32+Y32+AA32+AC32+AE32+AG32</f>
        <v>0</v>
      </c>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row>
    <row r="33" spans="1:34" s="453" customFormat="1" ht="12.75">
      <c r="A33" s="458">
        <v>6</v>
      </c>
      <c r="B33" s="475" t="s">
        <v>164</v>
      </c>
      <c r="C33" s="460"/>
      <c r="D33" s="460">
        <v>1000</v>
      </c>
      <c r="E33" s="460">
        <f t="shared" si="8"/>
        <v>1000</v>
      </c>
      <c r="F33" s="460">
        <f>H33+I33+J33</f>
        <v>1000</v>
      </c>
      <c r="G33" s="460"/>
      <c r="H33" s="460">
        <f>H34+H35</f>
        <v>0</v>
      </c>
      <c r="I33" s="460">
        <f>+E33</f>
        <v>1000</v>
      </c>
      <c r="J33" s="460">
        <f>L33</f>
        <v>0</v>
      </c>
      <c r="K33" s="460">
        <f t="shared" si="12"/>
        <v>0</v>
      </c>
      <c r="L33" s="460">
        <f t="shared" si="12"/>
        <v>0</v>
      </c>
      <c r="M33" s="460">
        <f t="shared" ref="M33:AH33" si="13">SUM(M34:M35)</f>
        <v>0</v>
      </c>
      <c r="N33" s="460">
        <f t="shared" si="13"/>
        <v>0</v>
      </c>
      <c r="O33" s="460">
        <f t="shared" si="13"/>
        <v>0</v>
      </c>
      <c r="P33" s="460">
        <f t="shared" si="13"/>
        <v>0</v>
      </c>
      <c r="Q33" s="460">
        <v>0</v>
      </c>
      <c r="R33" s="460">
        <v>0</v>
      </c>
      <c r="S33" s="460">
        <f t="shared" si="13"/>
        <v>0</v>
      </c>
      <c r="T33" s="460">
        <f t="shared" si="13"/>
        <v>0</v>
      </c>
      <c r="U33" s="460">
        <f t="shared" si="13"/>
        <v>0</v>
      </c>
      <c r="V33" s="460">
        <f t="shared" si="13"/>
        <v>0</v>
      </c>
      <c r="W33" s="460">
        <f t="shared" si="13"/>
        <v>0</v>
      </c>
      <c r="X33" s="460">
        <f t="shared" si="13"/>
        <v>0</v>
      </c>
      <c r="Y33" s="460">
        <f t="shared" si="13"/>
        <v>0</v>
      </c>
      <c r="Z33" s="460">
        <f t="shared" si="13"/>
        <v>0</v>
      </c>
      <c r="AA33" s="460">
        <f t="shared" si="13"/>
        <v>0</v>
      </c>
      <c r="AB33" s="460">
        <f t="shared" si="13"/>
        <v>0</v>
      </c>
      <c r="AC33" s="460">
        <f t="shared" si="13"/>
        <v>0</v>
      </c>
      <c r="AD33" s="460">
        <f t="shared" si="13"/>
        <v>0</v>
      </c>
      <c r="AE33" s="460">
        <f t="shared" si="13"/>
        <v>0</v>
      </c>
      <c r="AF33" s="460">
        <f t="shared" si="13"/>
        <v>0</v>
      </c>
      <c r="AG33" s="460">
        <f t="shared" si="13"/>
        <v>0</v>
      </c>
      <c r="AH33" s="460">
        <f t="shared" si="13"/>
        <v>0</v>
      </c>
    </row>
    <row r="34" spans="1:34" s="472" customFormat="1">
      <c r="A34" s="365" t="s">
        <v>102</v>
      </c>
      <c r="B34" s="366" t="s">
        <v>165</v>
      </c>
      <c r="C34" s="469"/>
      <c r="D34" s="469">
        <v>0</v>
      </c>
      <c r="E34" s="465">
        <f t="shared" si="8"/>
        <v>0</v>
      </c>
      <c r="F34" s="469">
        <f>E34</f>
        <v>0</v>
      </c>
      <c r="G34" s="469"/>
      <c r="H34" s="469"/>
      <c r="I34" s="469"/>
      <c r="J34" s="469"/>
      <c r="K34" s="465">
        <f t="shared" si="12"/>
        <v>0</v>
      </c>
      <c r="L34" s="465">
        <f t="shared" si="12"/>
        <v>0</v>
      </c>
      <c r="M34" s="469"/>
      <c r="N34" s="469"/>
      <c r="O34" s="469"/>
      <c r="P34" s="469"/>
      <c r="Q34" s="469">
        <v>0</v>
      </c>
      <c r="R34" s="469">
        <v>0</v>
      </c>
      <c r="S34" s="469"/>
      <c r="T34" s="469"/>
      <c r="U34" s="469"/>
      <c r="V34" s="469"/>
      <c r="W34" s="469"/>
      <c r="X34" s="469"/>
      <c r="Y34" s="469"/>
      <c r="Z34" s="469"/>
      <c r="AA34" s="469"/>
      <c r="AB34" s="469"/>
      <c r="AC34" s="469"/>
      <c r="AD34" s="469"/>
      <c r="AE34" s="469"/>
      <c r="AF34" s="469"/>
      <c r="AG34" s="469"/>
      <c r="AH34" s="469"/>
    </row>
    <row r="35" spans="1:34" s="472" customFormat="1">
      <c r="A35" s="365" t="s">
        <v>102</v>
      </c>
      <c r="B35" s="367" t="s">
        <v>5</v>
      </c>
      <c r="C35" s="469"/>
      <c r="D35" s="469">
        <v>0</v>
      </c>
      <c r="E35" s="465">
        <f>C35+D35</f>
        <v>0</v>
      </c>
      <c r="F35" s="469">
        <f>E35</f>
        <v>0</v>
      </c>
      <c r="G35" s="469"/>
      <c r="H35" s="469">
        <v>0</v>
      </c>
      <c r="I35" s="469">
        <f>F35</f>
        <v>0</v>
      </c>
      <c r="J35" s="469">
        <v>0</v>
      </c>
      <c r="K35" s="465">
        <f t="shared" si="12"/>
        <v>0</v>
      </c>
      <c r="L35" s="465">
        <f t="shared" si="12"/>
        <v>0</v>
      </c>
      <c r="M35" s="469"/>
      <c r="N35" s="469"/>
      <c r="O35" s="469"/>
      <c r="P35" s="469"/>
      <c r="Q35" s="469"/>
      <c r="R35" s="469"/>
      <c r="S35" s="469"/>
      <c r="T35" s="469"/>
      <c r="U35" s="469"/>
      <c r="V35" s="469"/>
      <c r="W35" s="469"/>
      <c r="X35" s="469"/>
      <c r="Y35" s="469"/>
      <c r="Z35" s="469"/>
      <c r="AA35" s="469"/>
      <c r="AB35" s="469"/>
      <c r="AC35" s="469"/>
      <c r="AD35" s="469"/>
      <c r="AE35" s="469"/>
      <c r="AF35" s="469"/>
      <c r="AG35" s="469"/>
      <c r="AH35" s="469"/>
    </row>
    <row r="36" spans="1:34" s="453" customFormat="1" ht="12.75">
      <c r="A36" s="458">
        <v>7</v>
      </c>
      <c r="B36" s="475" t="s">
        <v>166</v>
      </c>
      <c r="C36" s="460">
        <v>50</v>
      </c>
      <c r="D36" s="460">
        <v>400</v>
      </c>
      <c r="E36" s="460">
        <f>C36+D36</f>
        <v>450</v>
      </c>
      <c r="F36" s="460">
        <f>G36+H36+I36+J36</f>
        <v>450</v>
      </c>
      <c r="G36" s="460">
        <f t="shared" ref="G36:AH36" si="14">G38+G39</f>
        <v>50</v>
      </c>
      <c r="H36" s="460">
        <f t="shared" si="14"/>
        <v>0</v>
      </c>
      <c r="I36" s="460">
        <f>I38+I39</f>
        <v>170</v>
      </c>
      <c r="J36" s="460">
        <f>J38+J39</f>
        <v>230</v>
      </c>
      <c r="K36" s="460">
        <f>K38+K39</f>
        <v>230</v>
      </c>
      <c r="L36" s="460">
        <f t="shared" si="14"/>
        <v>230</v>
      </c>
      <c r="M36" s="460">
        <f>M38+M39</f>
        <v>20</v>
      </c>
      <c r="N36" s="460">
        <f t="shared" si="14"/>
        <v>20</v>
      </c>
      <c r="O36" s="460">
        <f t="shared" si="14"/>
        <v>19</v>
      </c>
      <c r="P36" s="460">
        <f t="shared" si="14"/>
        <v>19</v>
      </c>
      <c r="Q36" s="460">
        <f t="shared" si="14"/>
        <v>71</v>
      </c>
      <c r="R36" s="460">
        <f t="shared" si="14"/>
        <v>71</v>
      </c>
      <c r="S36" s="460">
        <f t="shared" si="14"/>
        <v>17</v>
      </c>
      <c r="T36" s="460">
        <f t="shared" si="14"/>
        <v>17</v>
      </c>
      <c r="U36" s="460">
        <f t="shared" si="14"/>
        <v>10</v>
      </c>
      <c r="V36" s="460">
        <f t="shared" si="14"/>
        <v>10</v>
      </c>
      <c r="W36" s="460">
        <f t="shared" si="14"/>
        <v>12</v>
      </c>
      <c r="X36" s="460">
        <f t="shared" si="14"/>
        <v>12</v>
      </c>
      <c r="Y36" s="460">
        <f t="shared" si="14"/>
        <v>11</v>
      </c>
      <c r="Z36" s="460">
        <f t="shared" si="14"/>
        <v>11</v>
      </c>
      <c r="AA36" s="460">
        <f t="shared" si="14"/>
        <v>23</v>
      </c>
      <c r="AB36" s="460">
        <f t="shared" si="14"/>
        <v>23</v>
      </c>
      <c r="AC36" s="460">
        <f t="shared" si="14"/>
        <v>11</v>
      </c>
      <c r="AD36" s="460">
        <f t="shared" si="14"/>
        <v>11</v>
      </c>
      <c r="AE36" s="460">
        <f t="shared" si="14"/>
        <v>21</v>
      </c>
      <c r="AF36" s="460">
        <f>AF38+AF39</f>
        <v>21</v>
      </c>
      <c r="AG36" s="460">
        <f t="shared" si="14"/>
        <v>15</v>
      </c>
      <c r="AH36" s="460">
        <f t="shared" si="14"/>
        <v>15</v>
      </c>
    </row>
    <row r="37" spans="1:34" s="472" customFormat="1">
      <c r="A37" s="470"/>
      <c r="B37" s="471" t="s">
        <v>34</v>
      </c>
      <c r="C37" s="469"/>
      <c r="D37" s="469"/>
      <c r="E37" s="465">
        <f>C37+D37</f>
        <v>0</v>
      </c>
      <c r="F37" s="469"/>
      <c r="G37" s="469"/>
      <c r="H37" s="469"/>
      <c r="I37" s="469"/>
      <c r="J37" s="469"/>
      <c r="K37" s="465">
        <f>M37+O37+Q37+S37+U37+W37+Y37+AA37+AC37+AE37+AG37</f>
        <v>0</v>
      </c>
      <c r="L37" s="465">
        <f>N37+P37+R37+T37+V37+X37+Z37+AB37+AD37+AF37+AH37</f>
        <v>0</v>
      </c>
      <c r="M37" s="469"/>
      <c r="N37" s="469"/>
      <c r="O37" s="469"/>
      <c r="P37" s="469"/>
      <c r="Q37" s="469"/>
      <c r="R37" s="469"/>
      <c r="S37" s="469"/>
      <c r="T37" s="469"/>
      <c r="U37" s="469"/>
      <c r="V37" s="469"/>
      <c r="W37" s="469"/>
      <c r="X37" s="469"/>
      <c r="Y37" s="469"/>
      <c r="Z37" s="469"/>
      <c r="AA37" s="469"/>
      <c r="AB37" s="469"/>
      <c r="AC37" s="469"/>
      <c r="AD37" s="469"/>
      <c r="AE37" s="469"/>
      <c r="AF37" s="469"/>
      <c r="AG37" s="469"/>
      <c r="AH37" s="469"/>
    </row>
    <row r="38" spans="1:34">
      <c r="A38" s="476" t="s">
        <v>102</v>
      </c>
      <c r="B38" s="477" t="s">
        <v>35</v>
      </c>
      <c r="C38" s="465"/>
      <c r="D38" s="465">
        <v>50</v>
      </c>
      <c r="E38" s="465">
        <f>C38+D38</f>
        <v>50</v>
      </c>
      <c r="F38" s="465">
        <f>G38+H38+I38+J38</f>
        <v>50</v>
      </c>
      <c r="G38" s="465">
        <v>50</v>
      </c>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row>
    <row r="39" spans="1:34">
      <c r="A39" s="476" t="s">
        <v>102</v>
      </c>
      <c r="B39" s="477" t="s">
        <v>36</v>
      </c>
      <c r="C39" s="465">
        <f>SUM(C40:C43)</f>
        <v>50</v>
      </c>
      <c r="D39" s="465">
        <f t="shared" ref="D39:E39" si="15">SUM(D40:D43)</f>
        <v>350</v>
      </c>
      <c r="E39" s="465">
        <f t="shared" si="15"/>
        <v>400</v>
      </c>
      <c r="F39" s="465">
        <f t="shared" ref="F39:AH39" si="16">SUM(F40:F43)</f>
        <v>400</v>
      </c>
      <c r="G39" s="465">
        <f t="shared" si="16"/>
        <v>0</v>
      </c>
      <c r="H39" s="465">
        <f t="shared" si="16"/>
        <v>0</v>
      </c>
      <c r="I39" s="465">
        <f>SUM(I40:I43)</f>
        <v>170</v>
      </c>
      <c r="J39" s="465">
        <f t="shared" si="16"/>
        <v>230</v>
      </c>
      <c r="K39" s="465">
        <f t="shared" si="16"/>
        <v>230</v>
      </c>
      <c r="L39" s="465">
        <f>SUM(L40:L43)</f>
        <v>230</v>
      </c>
      <c r="M39" s="465">
        <f t="shared" si="16"/>
        <v>20</v>
      </c>
      <c r="N39" s="465">
        <f t="shared" si="16"/>
        <v>20</v>
      </c>
      <c r="O39" s="465">
        <f t="shared" si="16"/>
        <v>19</v>
      </c>
      <c r="P39" s="465">
        <f t="shared" si="16"/>
        <v>19</v>
      </c>
      <c r="Q39" s="465">
        <f t="shared" si="16"/>
        <v>71</v>
      </c>
      <c r="R39" s="465">
        <f t="shared" si="16"/>
        <v>71</v>
      </c>
      <c r="S39" s="465">
        <f t="shared" si="16"/>
        <v>17</v>
      </c>
      <c r="T39" s="465">
        <f t="shared" si="16"/>
        <v>17</v>
      </c>
      <c r="U39" s="465">
        <f t="shared" si="16"/>
        <v>10</v>
      </c>
      <c r="V39" s="465">
        <f t="shared" si="16"/>
        <v>10</v>
      </c>
      <c r="W39" s="465">
        <f t="shared" si="16"/>
        <v>12</v>
      </c>
      <c r="X39" s="465">
        <f t="shared" si="16"/>
        <v>12</v>
      </c>
      <c r="Y39" s="465">
        <f t="shared" si="16"/>
        <v>11</v>
      </c>
      <c r="Z39" s="465">
        <f t="shared" si="16"/>
        <v>11</v>
      </c>
      <c r="AA39" s="465">
        <f t="shared" si="16"/>
        <v>23</v>
      </c>
      <c r="AB39" s="465">
        <f t="shared" si="16"/>
        <v>23</v>
      </c>
      <c r="AC39" s="465">
        <f t="shared" si="16"/>
        <v>11</v>
      </c>
      <c r="AD39" s="465">
        <f t="shared" si="16"/>
        <v>11</v>
      </c>
      <c r="AE39" s="465">
        <f>SUM(AE40:AE43)</f>
        <v>21</v>
      </c>
      <c r="AF39" s="465">
        <f>SUM(AF40:AF43)</f>
        <v>21</v>
      </c>
      <c r="AG39" s="465">
        <f t="shared" si="16"/>
        <v>15</v>
      </c>
      <c r="AH39" s="465">
        <f t="shared" si="16"/>
        <v>15</v>
      </c>
    </row>
    <row r="40" spans="1:34" s="472" customFormat="1">
      <c r="A40" s="470"/>
      <c r="B40" s="471" t="s">
        <v>571</v>
      </c>
      <c r="C40" s="469"/>
      <c r="D40" s="469"/>
      <c r="E40" s="469">
        <f>C40+D40</f>
        <v>0</v>
      </c>
      <c r="F40" s="469">
        <f>H40+I40+J40</f>
        <v>0</v>
      </c>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row>
    <row r="41" spans="1:34" s="472" customFormat="1">
      <c r="A41" s="470"/>
      <c r="B41" s="471" t="s">
        <v>168</v>
      </c>
      <c r="C41" s="469">
        <v>50</v>
      </c>
      <c r="D41" s="469">
        <v>140</v>
      </c>
      <c r="E41" s="469">
        <f>C41+D41</f>
        <v>190</v>
      </c>
      <c r="F41" s="469">
        <f>H41+I41+J41</f>
        <v>190</v>
      </c>
      <c r="G41" s="469"/>
      <c r="H41" s="469">
        <v>0</v>
      </c>
      <c r="I41" s="469">
        <v>50</v>
      </c>
      <c r="J41" s="469">
        <v>140</v>
      </c>
      <c r="K41" s="469">
        <f t="shared" ref="K41:L42" si="17">M41+O41+Q41+S41+U41+W41+Y41+AA41+AC41+AE41+AG41</f>
        <v>140</v>
      </c>
      <c r="L41" s="469">
        <f>N41+P41+R41+T41+V41+X41+Z41+AB41+AD41+AF41+AH41</f>
        <v>140</v>
      </c>
      <c r="M41" s="469">
        <v>10</v>
      </c>
      <c r="N41" s="469">
        <v>10</v>
      </c>
      <c r="O41" s="469">
        <v>11</v>
      </c>
      <c r="P41" s="469">
        <v>11</v>
      </c>
      <c r="Q41" s="469">
        <v>55</v>
      </c>
      <c r="R41" s="469">
        <v>55</v>
      </c>
      <c r="S41" s="469">
        <v>10</v>
      </c>
      <c r="T41" s="469">
        <v>10</v>
      </c>
      <c r="U41" s="469">
        <v>3</v>
      </c>
      <c r="V41" s="469">
        <v>3</v>
      </c>
      <c r="W41" s="469">
        <v>5</v>
      </c>
      <c r="X41" s="469">
        <v>5</v>
      </c>
      <c r="Y41" s="469">
        <v>4</v>
      </c>
      <c r="Z41" s="469">
        <v>4</v>
      </c>
      <c r="AA41" s="469">
        <v>16</v>
      </c>
      <c r="AB41" s="469">
        <v>16</v>
      </c>
      <c r="AC41" s="469">
        <v>4</v>
      </c>
      <c r="AD41" s="469">
        <v>4</v>
      </c>
      <c r="AE41" s="469">
        <v>14</v>
      </c>
      <c r="AF41" s="469">
        <v>14</v>
      </c>
      <c r="AG41" s="469">
        <v>8</v>
      </c>
      <c r="AH41" s="469">
        <v>8</v>
      </c>
    </row>
    <row r="42" spans="1:34" s="472" customFormat="1">
      <c r="A42" s="470"/>
      <c r="B42" s="471" t="s">
        <v>167</v>
      </c>
      <c r="C42" s="469"/>
      <c r="D42" s="469">
        <v>120</v>
      </c>
      <c r="E42" s="469">
        <f>C42+D42</f>
        <v>120</v>
      </c>
      <c r="F42" s="469">
        <f>H42+I42+J42</f>
        <v>120</v>
      </c>
      <c r="G42" s="469"/>
      <c r="H42" s="469">
        <v>0</v>
      </c>
      <c r="I42" s="469">
        <f>E42*1</f>
        <v>120</v>
      </c>
      <c r="J42" s="469">
        <v>0</v>
      </c>
      <c r="K42" s="469">
        <f t="shared" si="17"/>
        <v>0</v>
      </c>
      <c r="L42" s="469">
        <f t="shared" si="17"/>
        <v>0</v>
      </c>
      <c r="M42" s="469"/>
      <c r="N42" s="469"/>
      <c r="O42" s="469"/>
      <c r="P42" s="469"/>
      <c r="Q42" s="469"/>
      <c r="R42" s="469"/>
      <c r="S42" s="469"/>
      <c r="T42" s="469"/>
      <c r="U42" s="469"/>
      <c r="V42" s="469"/>
      <c r="W42" s="469"/>
      <c r="X42" s="469"/>
      <c r="Y42" s="469"/>
      <c r="Z42" s="469"/>
      <c r="AA42" s="469"/>
      <c r="AB42" s="469"/>
      <c r="AC42" s="469"/>
      <c r="AD42" s="469"/>
      <c r="AE42" s="469"/>
      <c r="AF42" s="469"/>
      <c r="AG42" s="469"/>
      <c r="AH42" s="469"/>
    </row>
    <row r="43" spans="1:34" s="472" customFormat="1" ht="16.149999999999999" customHeight="1">
      <c r="A43" s="470"/>
      <c r="B43" s="471" t="s">
        <v>331</v>
      </c>
      <c r="C43" s="469"/>
      <c r="D43" s="469">
        <v>90</v>
      </c>
      <c r="E43" s="469">
        <f>C43+D43</f>
        <v>90</v>
      </c>
      <c r="F43" s="469">
        <f>H43+I3+J43</f>
        <v>90</v>
      </c>
      <c r="G43" s="469"/>
      <c r="H43" s="469">
        <v>0</v>
      </c>
      <c r="I43" s="469">
        <v>0</v>
      </c>
      <c r="J43" s="469">
        <f>K43</f>
        <v>90</v>
      </c>
      <c r="K43" s="469">
        <f>M43+O43+Q43+S43+U43+W43+Y43+AA43+AC43+AE43+AG43</f>
        <v>90</v>
      </c>
      <c r="L43" s="469">
        <f>N43+P43+R43+T43+V43+X43+Z43+AB43+AD43+AF43+AH43</f>
        <v>90</v>
      </c>
      <c r="M43" s="469">
        <v>10</v>
      </c>
      <c r="N43" s="469">
        <v>10</v>
      </c>
      <c r="O43" s="469">
        <v>8</v>
      </c>
      <c r="P43" s="469">
        <v>8</v>
      </c>
      <c r="Q43" s="469">
        <v>16</v>
      </c>
      <c r="R43" s="469">
        <v>16</v>
      </c>
      <c r="S43" s="469">
        <v>7</v>
      </c>
      <c r="T43" s="469">
        <v>7</v>
      </c>
      <c r="U43" s="469">
        <v>7</v>
      </c>
      <c r="V43" s="469">
        <v>7</v>
      </c>
      <c r="W43" s="469">
        <v>7</v>
      </c>
      <c r="X43" s="469">
        <v>7</v>
      </c>
      <c r="Y43" s="469">
        <v>7</v>
      </c>
      <c r="Z43" s="469">
        <v>7</v>
      </c>
      <c r="AA43" s="469">
        <v>7</v>
      </c>
      <c r="AB43" s="469">
        <v>7</v>
      </c>
      <c r="AC43" s="469">
        <v>7</v>
      </c>
      <c r="AD43" s="469">
        <v>7</v>
      </c>
      <c r="AE43" s="469">
        <v>7</v>
      </c>
      <c r="AF43" s="469">
        <v>7</v>
      </c>
      <c r="AG43" s="469">
        <v>7</v>
      </c>
      <c r="AH43" s="469">
        <v>7</v>
      </c>
    </row>
    <row r="44" spans="1:34" s="453" customFormat="1" ht="12.75">
      <c r="A44" s="458">
        <v>8</v>
      </c>
      <c r="B44" s="475" t="s">
        <v>169</v>
      </c>
      <c r="C44" s="460">
        <f>C45+C53</f>
        <v>500</v>
      </c>
      <c r="D44" s="460">
        <f>D45+D53</f>
        <v>1000</v>
      </c>
      <c r="E44" s="460">
        <f t="shared" ref="E44:J44" si="18">E45+E53</f>
        <v>1500</v>
      </c>
      <c r="F44" s="460">
        <f t="shared" si="18"/>
        <v>1500</v>
      </c>
      <c r="G44" s="460">
        <f t="shared" si="18"/>
        <v>800</v>
      </c>
      <c r="H44" s="460">
        <f>H45+H53</f>
        <v>480</v>
      </c>
      <c r="I44" s="460">
        <f>I45+I53</f>
        <v>220</v>
      </c>
      <c r="J44" s="460">
        <f t="shared" si="18"/>
        <v>0</v>
      </c>
      <c r="K44" s="460">
        <f>SUM(K47:K53)</f>
        <v>0</v>
      </c>
      <c r="L44" s="460">
        <f>SUM(L47:L53)</f>
        <v>0</v>
      </c>
      <c r="M44" s="460">
        <f>SUM(M47:M53)</f>
        <v>0</v>
      </c>
      <c r="N44" s="460">
        <f t="shared" ref="N44:AH44" si="19">SUM(N47:N53)</f>
        <v>0</v>
      </c>
      <c r="O44" s="460">
        <f t="shared" si="19"/>
        <v>0</v>
      </c>
      <c r="P44" s="460">
        <f t="shared" si="19"/>
        <v>0</v>
      </c>
      <c r="Q44" s="460">
        <f t="shared" si="19"/>
        <v>0</v>
      </c>
      <c r="R44" s="460">
        <f t="shared" si="19"/>
        <v>0</v>
      </c>
      <c r="S44" s="460">
        <f t="shared" si="19"/>
        <v>0</v>
      </c>
      <c r="T44" s="460">
        <f t="shared" si="19"/>
        <v>0</v>
      </c>
      <c r="U44" s="460">
        <f t="shared" si="19"/>
        <v>0</v>
      </c>
      <c r="V44" s="460">
        <f t="shared" si="19"/>
        <v>0</v>
      </c>
      <c r="W44" s="460">
        <f t="shared" si="19"/>
        <v>0</v>
      </c>
      <c r="X44" s="460">
        <f t="shared" si="19"/>
        <v>0</v>
      </c>
      <c r="Y44" s="460">
        <f t="shared" si="19"/>
        <v>0</v>
      </c>
      <c r="Z44" s="460">
        <f t="shared" si="19"/>
        <v>0</v>
      </c>
      <c r="AA44" s="460">
        <f t="shared" si="19"/>
        <v>0</v>
      </c>
      <c r="AB44" s="460">
        <f t="shared" si="19"/>
        <v>0</v>
      </c>
      <c r="AC44" s="460">
        <f t="shared" si="19"/>
        <v>0</v>
      </c>
      <c r="AD44" s="460">
        <f t="shared" si="19"/>
        <v>0</v>
      </c>
      <c r="AE44" s="460">
        <f t="shared" si="19"/>
        <v>0</v>
      </c>
      <c r="AF44" s="460">
        <f t="shared" si="19"/>
        <v>0</v>
      </c>
      <c r="AG44" s="460">
        <f t="shared" si="19"/>
        <v>0</v>
      </c>
      <c r="AH44" s="460">
        <f t="shared" si="19"/>
        <v>0</v>
      </c>
    </row>
    <row r="45" spans="1:34" s="453" customFormat="1">
      <c r="A45" s="478" t="s">
        <v>244</v>
      </c>
      <c r="B45" s="477" t="s">
        <v>254</v>
      </c>
      <c r="C45" s="465">
        <v>20</v>
      </c>
      <c r="D45" s="465">
        <v>880</v>
      </c>
      <c r="E45" s="465">
        <f t="shared" ref="E45:G45" si="20">E46+E49</f>
        <v>900</v>
      </c>
      <c r="F45" s="465">
        <f t="shared" si="20"/>
        <v>900</v>
      </c>
      <c r="G45" s="465">
        <f t="shared" si="20"/>
        <v>800</v>
      </c>
      <c r="H45" s="465">
        <f>H46+H49</f>
        <v>0</v>
      </c>
      <c r="I45" s="465">
        <f>I46+I49</f>
        <v>100</v>
      </c>
      <c r="J45" s="460">
        <f t="shared" ref="J45" si="21">J46+J49</f>
        <v>0</v>
      </c>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row>
    <row r="46" spans="1:34">
      <c r="A46" s="478" t="s">
        <v>253</v>
      </c>
      <c r="B46" s="477" t="s">
        <v>252</v>
      </c>
      <c r="C46" s="465">
        <f>C47+C48</f>
        <v>0</v>
      </c>
      <c r="D46" s="465">
        <f t="shared" ref="D46:J46" si="22">D47+D48</f>
        <v>700</v>
      </c>
      <c r="E46" s="465">
        <f>E47+E48</f>
        <v>700</v>
      </c>
      <c r="F46" s="465">
        <f t="shared" si="22"/>
        <v>700</v>
      </c>
      <c r="G46" s="465">
        <f t="shared" si="22"/>
        <v>700</v>
      </c>
      <c r="H46" s="465">
        <f t="shared" si="22"/>
        <v>0</v>
      </c>
      <c r="I46" s="465">
        <f t="shared" si="22"/>
        <v>0</v>
      </c>
      <c r="J46" s="465">
        <f t="shared" si="22"/>
        <v>0</v>
      </c>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row>
    <row r="47" spans="1:34" s="472" customFormat="1" ht="26.25">
      <c r="A47" s="365" t="s">
        <v>102</v>
      </c>
      <c r="B47" s="366" t="s">
        <v>6</v>
      </c>
      <c r="C47" s="469"/>
      <c r="D47" s="469">
        <v>700</v>
      </c>
      <c r="E47" s="465">
        <f>C47+D47</f>
        <v>700</v>
      </c>
      <c r="F47" s="469">
        <f>G47+H47+I47</f>
        <v>700</v>
      </c>
      <c r="G47" s="469">
        <v>700</v>
      </c>
      <c r="H47" s="469"/>
      <c r="I47" s="469">
        <v>0</v>
      </c>
      <c r="J47" s="469">
        <v>0</v>
      </c>
      <c r="K47" s="469">
        <f>J47</f>
        <v>0</v>
      </c>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row>
    <row r="48" spans="1:34" s="472" customFormat="1" ht="26.25">
      <c r="A48" s="365" t="s">
        <v>102</v>
      </c>
      <c r="B48" s="366" t="s">
        <v>37</v>
      </c>
      <c r="C48" s="469"/>
      <c r="D48" s="469"/>
      <c r="E48" s="460">
        <v>0</v>
      </c>
      <c r="F48" s="469">
        <v>0</v>
      </c>
      <c r="G48" s="469"/>
      <c r="H48" s="469">
        <f>F48</f>
        <v>0</v>
      </c>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row>
    <row r="49" spans="1:34" s="472" customFormat="1">
      <c r="A49" s="368" t="s">
        <v>255</v>
      </c>
      <c r="B49" s="477" t="s">
        <v>256</v>
      </c>
      <c r="C49" s="469">
        <f>C50+C51+C52</f>
        <v>20</v>
      </c>
      <c r="D49" s="469">
        <f>D50+D51+D52</f>
        <v>180</v>
      </c>
      <c r="E49" s="469">
        <f>E50+E51+E52</f>
        <v>200</v>
      </c>
      <c r="F49" s="469">
        <f>F50+F51+F52</f>
        <v>200</v>
      </c>
      <c r="G49" s="469">
        <f>G50+G51+G52</f>
        <v>100</v>
      </c>
      <c r="H49" s="469"/>
      <c r="I49" s="469">
        <f>I50+I51</f>
        <v>100</v>
      </c>
      <c r="J49" s="469">
        <f>J50+J51</f>
        <v>0</v>
      </c>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row>
    <row r="50" spans="1:34" s="472" customFormat="1" ht="12" customHeight="1">
      <c r="A50" s="365" t="s">
        <v>102</v>
      </c>
      <c r="B50" s="366" t="s">
        <v>806</v>
      </c>
      <c r="C50" s="469">
        <v>20</v>
      </c>
      <c r="D50" s="469">
        <v>80</v>
      </c>
      <c r="E50" s="469">
        <f t="shared" ref="E50:E56" si="23">C50+D50</f>
        <v>100</v>
      </c>
      <c r="F50" s="469">
        <f>SUM(G50:I50)</f>
        <v>100</v>
      </c>
      <c r="G50" s="469">
        <v>100</v>
      </c>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row>
    <row r="51" spans="1:34" s="472" customFormat="1">
      <c r="A51" s="365" t="s">
        <v>102</v>
      </c>
      <c r="B51" s="366" t="s">
        <v>807</v>
      </c>
      <c r="C51" s="469"/>
      <c r="D51" s="469">
        <v>100</v>
      </c>
      <c r="E51" s="469">
        <f t="shared" si="23"/>
        <v>100</v>
      </c>
      <c r="F51" s="469">
        <f>SUM(G51:I51)</f>
        <v>100</v>
      </c>
      <c r="G51" s="469"/>
      <c r="H51" s="469"/>
      <c r="I51" s="469">
        <v>100</v>
      </c>
      <c r="J51" s="469">
        <v>0</v>
      </c>
      <c r="K51" s="469">
        <f>J51</f>
        <v>0</v>
      </c>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row>
    <row r="52" spans="1:34" s="472" customFormat="1">
      <c r="A52" s="365" t="s">
        <v>102</v>
      </c>
      <c r="B52" s="366" t="s">
        <v>170</v>
      </c>
      <c r="C52" s="469">
        <v>0</v>
      </c>
      <c r="D52" s="469"/>
      <c r="E52" s="469">
        <f t="shared" si="23"/>
        <v>0</v>
      </c>
      <c r="F52" s="469">
        <f>SUM(G52:I52)</f>
        <v>0</v>
      </c>
      <c r="G52" s="469"/>
      <c r="H52" s="469"/>
      <c r="I52" s="469"/>
      <c r="J52" s="469">
        <v>0</v>
      </c>
      <c r="K52" s="469">
        <f>J52</f>
        <v>0</v>
      </c>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row>
    <row r="53" spans="1:34">
      <c r="A53" s="368" t="s">
        <v>245</v>
      </c>
      <c r="B53" s="369" t="s">
        <v>171</v>
      </c>
      <c r="C53" s="465">
        <v>480</v>
      </c>
      <c r="D53" s="465">
        <v>120</v>
      </c>
      <c r="E53" s="465">
        <f t="shared" si="23"/>
        <v>600</v>
      </c>
      <c r="F53" s="465">
        <f>SUM(G53:I53)</f>
        <v>600</v>
      </c>
      <c r="G53" s="465"/>
      <c r="H53" s="465">
        <v>480</v>
      </c>
      <c r="I53" s="465">
        <v>120</v>
      </c>
      <c r="J53" s="465">
        <v>0</v>
      </c>
      <c r="K53" s="465">
        <f>J53</f>
        <v>0</v>
      </c>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row>
    <row r="54" spans="1:34" s="453" customFormat="1" ht="12.75">
      <c r="A54" s="458">
        <v>9</v>
      </c>
      <c r="B54" s="475" t="s">
        <v>172</v>
      </c>
      <c r="C54" s="460"/>
      <c r="D54" s="460">
        <v>0</v>
      </c>
      <c r="E54" s="460">
        <f t="shared" si="23"/>
        <v>0</v>
      </c>
      <c r="F54" s="460">
        <f>J54</f>
        <v>0</v>
      </c>
      <c r="G54" s="460"/>
      <c r="H54" s="460">
        <v>0</v>
      </c>
      <c r="I54" s="460">
        <v>0</v>
      </c>
      <c r="J54" s="460">
        <v>0</v>
      </c>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row>
    <row r="55" spans="1:34" s="453" customFormat="1" ht="12.75">
      <c r="A55" s="458">
        <v>10</v>
      </c>
      <c r="B55" s="475" t="s">
        <v>173</v>
      </c>
      <c r="C55" s="460">
        <v>400</v>
      </c>
      <c r="D55" s="460"/>
      <c r="E55" s="460">
        <f t="shared" si="23"/>
        <v>400</v>
      </c>
      <c r="F55" s="460">
        <f>H55+I55</f>
        <v>400</v>
      </c>
      <c r="G55" s="460"/>
      <c r="H55" s="460">
        <v>80</v>
      </c>
      <c r="I55" s="460">
        <v>320</v>
      </c>
      <c r="J55" s="460">
        <v>0</v>
      </c>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row>
    <row r="56" spans="1:34" s="453" customFormat="1" ht="12.75">
      <c r="A56" s="458">
        <v>11</v>
      </c>
      <c r="B56" s="475" t="s">
        <v>7</v>
      </c>
      <c r="C56" s="460"/>
      <c r="D56" s="460"/>
      <c r="E56" s="460">
        <f t="shared" si="23"/>
        <v>0</v>
      </c>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row>
    <row r="57" spans="1:34" s="453" customFormat="1" ht="25.5">
      <c r="A57" s="458">
        <v>12</v>
      </c>
      <c r="B57" s="479" t="s">
        <v>783</v>
      </c>
      <c r="C57" s="460">
        <f>C58+C59+C61</f>
        <v>7360</v>
      </c>
      <c r="D57" s="460">
        <f>D58+D59+D61</f>
        <v>0</v>
      </c>
      <c r="E57" s="460">
        <f>E58+E59+E61</f>
        <v>7360</v>
      </c>
      <c r="F57" s="460">
        <f>G57+H57+I57+J57</f>
        <v>7360</v>
      </c>
      <c r="G57" s="460">
        <f>G58+G59+G61</f>
        <v>2345</v>
      </c>
      <c r="H57" s="460">
        <f>H58+H59+H61</f>
        <v>1005</v>
      </c>
      <c r="I57" s="460">
        <f>I58+I59+I61</f>
        <v>4010</v>
      </c>
      <c r="J57" s="460">
        <f t="shared" ref="J57:AH57" si="24">J58+J61</f>
        <v>0</v>
      </c>
      <c r="K57" s="460">
        <f t="shared" si="24"/>
        <v>0</v>
      </c>
      <c r="L57" s="460">
        <f t="shared" si="24"/>
        <v>0</v>
      </c>
      <c r="M57" s="460">
        <f t="shared" si="24"/>
        <v>0</v>
      </c>
      <c r="N57" s="460">
        <f t="shared" si="24"/>
        <v>0</v>
      </c>
      <c r="O57" s="460">
        <f t="shared" si="24"/>
        <v>0</v>
      </c>
      <c r="P57" s="460">
        <f t="shared" si="24"/>
        <v>0</v>
      </c>
      <c r="Q57" s="460">
        <f t="shared" si="24"/>
        <v>0</v>
      </c>
      <c r="R57" s="460">
        <f t="shared" si="24"/>
        <v>0</v>
      </c>
      <c r="S57" s="460">
        <f t="shared" si="24"/>
        <v>0</v>
      </c>
      <c r="T57" s="460">
        <f t="shared" si="24"/>
        <v>0</v>
      </c>
      <c r="U57" s="460">
        <f t="shared" si="24"/>
        <v>0</v>
      </c>
      <c r="V57" s="460">
        <f t="shared" si="24"/>
        <v>0</v>
      </c>
      <c r="W57" s="460">
        <f t="shared" si="24"/>
        <v>0</v>
      </c>
      <c r="X57" s="460">
        <f t="shared" si="24"/>
        <v>0</v>
      </c>
      <c r="Y57" s="460">
        <f t="shared" si="24"/>
        <v>0</v>
      </c>
      <c r="Z57" s="460">
        <f t="shared" si="24"/>
        <v>0</v>
      </c>
      <c r="AA57" s="460">
        <f t="shared" si="24"/>
        <v>0</v>
      </c>
      <c r="AB57" s="460">
        <f t="shared" si="24"/>
        <v>0</v>
      </c>
      <c r="AC57" s="460">
        <f t="shared" si="24"/>
        <v>0</v>
      </c>
      <c r="AD57" s="460">
        <f t="shared" si="24"/>
        <v>0</v>
      </c>
      <c r="AE57" s="460">
        <f t="shared" si="24"/>
        <v>0</v>
      </c>
      <c r="AF57" s="460">
        <f t="shared" si="24"/>
        <v>0</v>
      </c>
      <c r="AG57" s="460">
        <f t="shared" si="24"/>
        <v>0</v>
      </c>
      <c r="AH57" s="460">
        <f t="shared" si="24"/>
        <v>0</v>
      </c>
    </row>
    <row r="58" spans="1:34">
      <c r="A58" s="501" t="s">
        <v>102</v>
      </c>
      <c r="B58" s="500" t="s">
        <v>785</v>
      </c>
      <c r="C58" s="465">
        <v>3350</v>
      </c>
      <c r="D58" s="465">
        <v>0</v>
      </c>
      <c r="E58" s="465">
        <f>C58+D58</f>
        <v>3350</v>
      </c>
      <c r="F58" s="465">
        <f>G58+H58</f>
        <v>3350</v>
      </c>
      <c r="G58" s="465">
        <f>E58*70%</f>
        <v>2345</v>
      </c>
      <c r="H58" s="465">
        <f>E58*30%</f>
        <v>1005</v>
      </c>
      <c r="I58" s="465"/>
      <c r="J58" s="465">
        <f>J59+J60</f>
        <v>0</v>
      </c>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row>
    <row r="59" spans="1:34">
      <c r="A59" s="501" t="s">
        <v>102</v>
      </c>
      <c r="B59" s="500" t="s">
        <v>786</v>
      </c>
      <c r="C59" s="465">
        <v>4010</v>
      </c>
      <c r="D59" s="465"/>
      <c r="E59" s="465">
        <f t="shared" ref="E59:E63" si="25">C59+D59</f>
        <v>4010</v>
      </c>
      <c r="F59" s="465">
        <f>H59+I59+J59</f>
        <v>4010</v>
      </c>
      <c r="G59" s="465"/>
      <c r="H59" s="465"/>
      <c r="I59" s="465">
        <v>4010</v>
      </c>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row>
    <row r="60" spans="1:34">
      <c r="A60" s="501"/>
      <c r="B60" s="500" t="s">
        <v>8</v>
      </c>
      <c r="C60" s="465"/>
      <c r="D60" s="465"/>
      <c r="E60" s="465">
        <f>C60</f>
        <v>0</v>
      </c>
      <c r="F60" s="465">
        <f>H60+I60+J60</f>
        <v>0</v>
      </c>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row>
    <row r="61" spans="1:34" ht="14.25" customHeight="1">
      <c r="A61" s="501" t="s">
        <v>102</v>
      </c>
      <c r="B61" s="500" t="s">
        <v>784</v>
      </c>
      <c r="C61" s="465"/>
      <c r="D61" s="465"/>
      <c r="E61" s="465">
        <f t="shared" si="25"/>
        <v>0</v>
      </c>
      <c r="F61" s="465">
        <f>H61+I61+J61</f>
        <v>0</v>
      </c>
      <c r="G61" s="465"/>
      <c r="H61" s="465"/>
      <c r="I61" s="465">
        <v>0</v>
      </c>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row>
    <row r="62" spans="1:34" s="453" customFormat="1" ht="12.75">
      <c r="A62" s="458">
        <v>13</v>
      </c>
      <c r="B62" s="479" t="s">
        <v>9</v>
      </c>
      <c r="C62" s="460"/>
      <c r="D62" s="460"/>
      <c r="E62" s="460">
        <f t="shared" si="25"/>
        <v>0</v>
      </c>
      <c r="F62" s="460">
        <f>H62+I62+J62</f>
        <v>0</v>
      </c>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row>
    <row r="63" spans="1:34" s="453" customFormat="1" ht="12.75">
      <c r="A63" s="458">
        <v>14</v>
      </c>
      <c r="B63" s="475" t="s">
        <v>10</v>
      </c>
      <c r="C63" s="460"/>
      <c r="D63" s="460"/>
      <c r="E63" s="460">
        <f t="shared" si="25"/>
        <v>0</v>
      </c>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row>
    <row r="64" spans="1:34" ht="15.75" customHeight="1">
      <c r="A64" s="458" t="s">
        <v>89</v>
      </c>
      <c r="B64" s="475" t="s">
        <v>11</v>
      </c>
      <c r="C64" s="460">
        <f t="shared" ref="C64:J64" si="26">C65+C66</f>
        <v>0</v>
      </c>
      <c r="D64" s="460">
        <f t="shared" si="26"/>
        <v>0</v>
      </c>
      <c r="E64" s="480">
        <f t="shared" si="26"/>
        <v>460280</v>
      </c>
      <c r="F64" s="480">
        <f>F65+F66</f>
        <v>460280</v>
      </c>
      <c r="G64" s="480">
        <f t="shared" si="26"/>
        <v>0</v>
      </c>
      <c r="H64" s="480">
        <f t="shared" si="26"/>
        <v>0</v>
      </c>
      <c r="I64" s="480">
        <f t="shared" si="26"/>
        <v>364165.65700000001</v>
      </c>
      <c r="J64" s="480">
        <f t="shared" si="26"/>
        <v>96114.342999999993</v>
      </c>
      <c r="K64" s="480">
        <f t="shared" ref="K64:AH64" si="27">K65+K66</f>
        <v>96114.342999999993</v>
      </c>
      <c r="L64" s="480">
        <f t="shared" si="27"/>
        <v>96114.342999999993</v>
      </c>
      <c r="M64" s="480">
        <f t="shared" si="27"/>
        <v>8161.7320000000009</v>
      </c>
      <c r="N64" s="480">
        <f t="shared" si="27"/>
        <v>8161.7320000000009</v>
      </c>
      <c r="O64" s="480">
        <f t="shared" si="27"/>
        <v>8700.2149999999983</v>
      </c>
      <c r="P64" s="480">
        <f t="shared" si="27"/>
        <v>8700.2149999999983</v>
      </c>
      <c r="Q64" s="480">
        <f t="shared" si="27"/>
        <v>9204.0779999999995</v>
      </c>
      <c r="R64" s="480">
        <f t="shared" si="27"/>
        <v>9204.0779999999995</v>
      </c>
      <c r="S64" s="480">
        <f t="shared" si="27"/>
        <v>8189.3370000000004</v>
      </c>
      <c r="T64" s="480">
        <f t="shared" si="27"/>
        <v>8189.3370000000004</v>
      </c>
      <c r="U64" s="480">
        <f t="shared" si="27"/>
        <v>7321.1409999999996</v>
      </c>
      <c r="V64" s="480">
        <f t="shared" si="27"/>
        <v>7321.1409999999996</v>
      </c>
      <c r="W64" s="480">
        <f t="shared" si="27"/>
        <v>8023.58</v>
      </c>
      <c r="X64" s="480">
        <f t="shared" si="27"/>
        <v>8023.58</v>
      </c>
      <c r="Y64" s="480">
        <f t="shared" si="27"/>
        <v>8960.4169999999995</v>
      </c>
      <c r="Z64" s="480">
        <f t="shared" si="27"/>
        <v>8960.4169999999995</v>
      </c>
      <c r="AA64" s="480">
        <f t="shared" si="27"/>
        <v>8875.6539999999986</v>
      </c>
      <c r="AB64" s="480">
        <f t="shared" si="27"/>
        <v>8875.6539999999986</v>
      </c>
      <c r="AC64" s="480">
        <f t="shared" si="27"/>
        <v>8471.8809999999994</v>
      </c>
      <c r="AD64" s="480">
        <f t="shared" si="27"/>
        <v>8471.8809999999994</v>
      </c>
      <c r="AE64" s="480">
        <f t="shared" si="27"/>
        <v>9655.5130000000008</v>
      </c>
      <c r="AF64" s="480">
        <f t="shared" si="27"/>
        <v>9655.5130000000008</v>
      </c>
      <c r="AG64" s="480">
        <f t="shared" si="27"/>
        <v>10550.794999999996</v>
      </c>
      <c r="AH64" s="480">
        <f t="shared" si="27"/>
        <v>10550.794999999996</v>
      </c>
    </row>
    <row r="65" spans="1:34">
      <c r="A65" s="458">
        <v>1</v>
      </c>
      <c r="B65" s="475" t="s">
        <v>12</v>
      </c>
      <c r="C65" s="460"/>
      <c r="D65" s="460"/>
      <c r="E65" s="480">
        <v>389951</v>
      </c>
      <c r="F65" s="480">
        <f>E65</f>
        <v>389951</v>
      </c>
      <c r="G65" s="480"/>
      <c r="H65" s="480">
        <v>0</v>
      </c>
      <c r="I65" s="480">
        <f>F65-J65</f>
        <v>301438.65700000001</v>
      </c>
      <c r="J65" s="480">
        <f>K65</f>
        <v>88512.342999999993</v>
      </c>
      <c r="K65" s="480">
        <f>L65</f>
        <v>88512.342999999993</v>
      </c>
      <c r="L65" s="480">
        <f>N65+P65+R65+T65+V65+X65+Z65+AB65+AD65+AF65+AH65</f>
        <v>88512.342999999993</v>
      </c>
      <c r="M65" s="480">
        <f>'chi xã'!D6-20</f>
        <v>7612.1660000000011</v>
      </c>
      <c r="N65" s="480">
        <f>M65</f>
        <v>7612.1660000000011</v>
      </c>
      <c r="O65" s="480">
        <f>'chi xã'!E6-19</f>
        <v>7953.9879999999985</v>
      </c>
      <c r="P65" s="480">
        <f>O65</f>
        <v>7953.9879999999985</v>
      </c>
      <c r="Q65" s="480">
        <f>'chi xã'!H6-81</f>
        <v>8519.0689999999995</v>
      </c>
      <c r="R65" s="480">
        <f>Q65</f>
        <v>8519.0689999999995</v>
      </c>
      <c r="S65" s="480">
        <f>'chi xã'!I6-17</f>
        <v>7595.8940000000002</v>
      </c>
      <c r="T65" s="480">
        <f>S65</f>
        <v>7595.8940000000002</v>
      </c>
      <c r="U65" s="480">
        <f>'chi xã'!L6-10</f>
        <v>6927.4069999999992</v>
      </c>
      <c r="V65" s="480">
        <f>U65</f>
        <v>6927.4069999999992</v>
      </c>
      <c r="W65" s="480">
        <f>'chi xã'!J6-12</f>
        <v>7663.0219999999999</v>
      </c>
      <c r="X65" s="480">
        <f>W65</f>
        <v>7663.0219999999999</v>
      </c>
      <c r="Y65" s="480">
        <f>'chi xã'!K6-11</f>
        <v>7844.9299999999994</v>
      </c>
      <c r="Z65" s="480">
        <f>Y65</f>
        <v>7844.9299999999994</v>
      </c>
      <c r="AA65" s="480">
        <f>'chi xã'!N6-23</f>
        <v>8158.5729999999994</v>
      </c>
      <c r="AB65" s="480">
        <f>AA65</f>
        <v>8158.5729999999994</v>
      </c>
      <c r="AC65" s="480">
        <f>'chi xã'!M6-11</f>
        <v>7767.7669999999998</v>
      </c>
      <c r="AD65" s="480">
        <f>AC65</f>
        <v>7767.7669999999998</v>
      </c>
      <c r="AE65" s="480">
        <f>'chi xã'!F6-21</f>
        <v>8850.0150000000012</v>
      </c>
      <c r="AF65" s="480">
        <f>AE65</f>
        <v>8850.0150000000012</v>
      </c>
      <c r="AG65" s="480">
        <f>'chi xã'!G6-15</f>
        <v>9619.511999999997</v>
      </c>
      <c r="AH65" s="480">
        <f>AG65</f>
        <v>9619.511999999997</v>
      </c>
    </row>
    <row r="66" spans="1:34">
      <c r="A66" s="458">
        <v>2</v>
      </c>
      <c r="B66" s="475" t="s">
        <v>13</v>
      </c>
      <c r="C66" s="460"/>
      <c r="D66" s="460"/>
      <c r="E66" s="480">
        <f>E67+E68</f>
        <v>70329</v>
      </c>
      <c r="F66" s="480">
        <f t="shared" ref="F66:K66" si="28">F67+F68</f>
        <v>70329</v>
      </c>
      <c r="G66" s="480">
        <f t="shared" si="28"/>
        <v>0</v>
      </c>
      <c r="H66" s="480">
        <f t="shared" si="28"/>
        <v>0</v>
      </c>
      <c r="I66" s="480">
        <f t="shared" si="28"/>
        <v>62727</v>
      </c>
      <c r="J66" s="480">
        <f>J67+J68</f>
        <v>7601.9999999999982</v>
      </c>
      <c r="K66" s="480">
        <f t="shared" si="28"/>
        <v>7601.9999999999982</v>
      </c>
      <c r="L66" s="480">
        <f>N66+P66+R66+T66+V66+X66+Z66+AB66+AD66+AF66+AH66</f>
        <v>7601.9999999999982</v>
      </c>
      <c r="M66" s="480">
        <f>M67+M68</f>
        <v>549.56600000000003</v>
      </c>
      <c r="N66" s="480">
        <f t="shared" ref="N66:AH66" si="29">N67+N68</f>
        <v>549.56600000000003</v>
      </c>
      <c r="O66" s="480">
        <f t="shared" si="29"/>
        <v>746.22699999999998</v>
      </c>
      <c r="P66" s="480">
        <f t="shared" si="29"/>
        <v>746.22699999999998</v>
      </c>
      <c r="Q66" s="480">
        <f t="shared" si="29"/>
        <v>685.0089999999999</v>
      </c>
      <c r="R66" s="480">
        <f t="shared" si="29"/>
        <v>685.0089999999999</v>
      </c>
      <c r="S66" s="480">
        <f t="shared" si="29"/>
        <v>593.44299999999998</v>
      </c>
      <c r="T66" s="480">
        <f t="shared" si="29"/>
        <v>593.44299999999998</v>
      </c>
      <c r="U66" s="480">
        <f t="shared" si="29"/>
        <v>393.73399999999998</v>
      </c>
      <c r="V66" s="480">
        <f t="shared" si="29"/>
        <v>393.73399999999998</v>
      </c>
      <c r="W66" s="480">
        <f t="shared" si="29"/>
        <v>360.55800000000005</v>
      </c>
      <c r="X66" s="480">
        <f t="shared" si="29"/>
        <v>360.55800000000005</v>
      </c>
      <c r="Y66" s="480">
        <f t="shared" si="29"/>
        <v>1115.4870000000001</v>
      </c>
      <c r="Z66" s="480">
        <f t="shared" si="29"/>
        <v>1115.4870000000001</v>
      </c>
      <c r="AA66" s="480">
        <f t="shared" si="29"/>
        <v>717.0809999999999</v>
      </c>
      <c r="AB66" s="480">
        <f t="shared" si="29"/>
        <v>717.0809999999999</v>
      </c>
      <c r="AC66" s="480">
        <f t="shared" si="29"/>
        <v>704.11400000000003</v>
      </c>
      <c r="AD66" s="480">
        <f t="shared" si="29"/>
        <v>704.11400000000003</v>
      </c>
      <c r="AE66" s="480">
        <f t="shared" si="29"/>
        <v>805.49799999999993</v>
      </c>
      <c r="AF66" s="480">
        <f t="shared" si="29"/>
        <v>805.49799999999993</v>
      </c>
      <c r="AG66" s="480">
        <f t="shared" si="29"/>
        <v>931.2829999999999</v>
      </c>
      <c r="AH66" s="480">
        <f t="shared" si="29"/>
        <v>931.2829999999999</v>
      </c>
    </row>
    <row r="67" spans="1:34" s="506" customFormat="1" ht="14.25" customHeight="1">
      <c r="A67" s="502" t="s">
        <v>148</v>
      </c>
      <c r="B67" s="503" t="s">
        <v>19</v>
      </c>
      <c r="C67" s="465"/>
      <c r="D67" s="465"/>
      <c r="E67" s="504">
        <f>BSMT!C35</f>
        <v>19135</v>
      </c>
      <c r="F67" s="504">
        <f>E67</f>
        <v>19135</v>
      </c>
      <c r="G67" s="504"/>
      <c r="H67" s="504"/>
      <c r="I67" s="505">
        <f>F67-J67</f>
        <v>19135</v>
      </c>
      <c r="J67" s="504">
        <f>K67</f>
        <v>0</v>
      </c>
      <c r="K67" s="504">
        <f>L67</f>
        <v>0</v>
      </c>
      <c r="L67" s="480">
        <f>N67+P67+R67+T67+V67+X67+Z67+AB67+AD67+AF67+AH67</f>
        <v>0</v>
      </c>
      <c r="M67" s="504">
        <v>0</v>
      </c>
      <c r="N67" s="504">
        <v>0</v>
      </c>
      <c r="O67" s="504">
        <v>0</v>
      </c>
      <c r="P67" s="504">
        <v>0</v>
      </c>
      <c r="Q67" s="504">
        <v>0</v>
      </c>
      <c r="R67" s="504">
        <v>0</v>
      </c>
      <c r="S67" s="504">
        <v>0</v>
      </c>
      <c r="T67" s="504">
        <v>0</v>
      </c>
      <c r="U67" s="504">
        <v>0</v>
      </c>
      <c r="V67" s="504">
        <v>0</v>
      </c>
      <c r="W67" s="504">
        <v>0</v>
      </c>
      <c r="X67" s="504">
        <v>0</v>
      </c>
      <c r="Y67" s="504">
        <v>0</v>
      </c>
      <c r="Z67" s="504">
        <v>0</v>
      </c>
      <c r="AA67" s="504">
        <v>0</v>
      </c>
      <c r="AB67" s="504">
        <v>0</v>
      </c>
      <c r="AC67" s="504">
        <v>0</v>
      </c>
      <c r="AD67" s="504">
        <v>0</v>
      </c>
      <c r="AE67" s="504">
        <v>0</v>
      </c>
      <c r="AF67" s="504">
        <v>0</v>
      </c>
      <c r="AG67" s="504">
        <v>0</v>
      </c>
      <c r="AH67" s="504">
        <v>0</v>
      </c>
    </row>
    <row r="68" spans="1:34" s="506" customFormat="1" ht="16.5" customHeight="1">
      <c r="A68" s="507" t="s">
        <v>150</v>
      </c>
      <c r="B68" s="508" t="s">
        <v>287</v>
      </c>
      <c r="C68" s="509"/>
      <c r="D68" s="509"/>
      <c r="E68" s="505">
        <f>BSMT!C10</f>
        <v>51194</v>
      </c>
      <c r="F68" s="505">
        <f>E68</f>
        <v>51194</v>
      </c>
      <c r="G68" s="505"/>
      <c r="H68" s="505"/>
      <c r="I68" s="505">
        <f>F68-J68</f>
        <v>43592</v>
      </c>
      <c r="J68" s="505">
        <f>K68</f>
        <v>7601.9999999999982</v>
      </c>
      <c r="K68" s="505">
        <f>L68</f>
        <v>7601.9999999999982</v>
      </c>
      <c r="L68" s="505">
        <f>N68+P68+R68+T68+V68+X68+Z68+AB68+AD68+AF68+AH68</f>
        <v>7601.9999999999982</v>
      </c>
      <c r="M68" s="505">
        <f>N68</f>
        <v>549.56600000000003</v>
      </c>
      <c r="N68" s="505">
        <f>'chi xã'!D81+'chi xã'!D86</f>
        <v>549.56600000000003</v>
      </c>
      <c r="O68" s="505">
        <f>P68</f>
        <v>746.22699999999998</v>
      </c>
      <c r="P68" s="505">
        <f>'chi xã'!E81+'chi xã'!E86</f>
        <v>746.22699999999998</v>
      </c>
      <c r="Q68" s="505">
        <f>R68</f>
        <v>685.0089999999999</v>
      </c>
      <c r="R68" s="505">
        <f>'chi xã'!H81+'chi xã'!H86</f>
        <v>685.0089999999999</v>
      </c>
      <c r="S68" s="505">
        <f>T68</f>
        <v>593.44299999999998</v>
      </c>
      <c r="T68" s="505">
        <f>'chi xã'!I81+'chi xã'!I86</f>
        <v>593.44299999999998</v>
      </c>
      <c r="U68" s="505">
        <f>V68</f>
        <v>393.73399999999998</v>
      </c>
      <c r="V68" s="505">
        <f>'chi xã'!L81+'chi xã'!L86</f>
        <v>393.73399999999998</v>
      </c>
      <c r="W68" s="505">
        <f>X68</f>
        <v>360.55800000000005</v>
      </c>
      <c r="X68" s="505">
        <f>'chi xã'!J81+'chi xã'!J86</f>
        <v>360.55800000000005</v>
      </c>
      <c r="Y68" s="505">
        <f>Z68</f>
        <v>1115.4870000000001</v>
      </c>
      <c r="Z68" s="505">
        <f>'chi xã'!K81+'chi xã'!K86</f>
        <v>1115.4870000000001</v>
      </c>
      <c r="AA68" s="505">
        <f>AB68</f>
        <v>717.0809999999999</v>
      </c>
      <c r="AB68" s="505">
        <f>'chi xã'!N81+'chi xã'!N86</f>
        <v>717.0809999999999</v>
      </c>
      <c r="AC68" s="505">
        <f>AD68</f>
        <v>704.11400000000003</v>
      </c>
      <c r="AD68" s="505">
        <f>'chi xã'!M81+'chi xã'!M86</f>
        <v>704.11400000000003</v>
      </c>
      <c r="AE68" s="505">
        <f>AF68</f>
        <v>805.49799999999993</v>
      </c>
      <c r="AF68" s="505">
        <f>'chi xã'!F81+'chi xã'!F86</f>
        <v>805.49799999999993</v>
      </c>
      <c r="AG68" s="505">
        <f>AH68</f>
        <v>931.2829999999999</v>
      </c>
      <c r="AH68" s="505">
        <f>'chi xã'!G81+'chi xã'!G86</f>
        <v>931.2829999999999</v>
      </c>
    </row>
  </sheetData>
  <mergeCells count="44">
    <mergeCell ref="A3:J3"/>
    <mergeCell ref="A5:J5"/>
    <mergeCell ref="K3:V3"/>
    <mergeCell ref="W3:AH3"/>
    <mergeCell ref="K1:M1"/>
    <mergeCell ref="Q1:R1"/>
    <mergeCell ref="Y1:Z1"/>
    <mergeCell ref="A1:C1"/>
    <mergeCell ref="I1:J1"/>
    <mergeCell ref="W1:X1"/>
    <mergeCell ref="U1:V1"/>
    <mergeCell ref="S1:T1"/>
    <mergeCell ref="AE1:AF1"/>
    <mergeCell ref="AG1:AH1"/>
    <mergeCell ref="AG6:AH6"/>
    <mergeCell ref="AE8:AF8"/>
    <mergeCell ref="M7:V7"/>
    <mergeCell ref="W7:AH7"/>
    <mergeCell ref="W8:X8"/>
    <mergeCell ref="U6:V6"/>
    <mergeCell ref="AE6:AF6"/>
    <mergeCell ref="O8:P8"/>
    <mergeCell ref="AG8:AH8"/>
    <mergeCell ref="AA8:AB8"/>
    <mergeCell ref="Y6:Z6"/>
    <mergeCell ref="AC8:AD8"/>
    <mergeCell ref="W6:X6"/>
    <mergeCell ref="S8:T8"/>
    <mergeCell ref="A7:A9"/>
    <mergeCell ref="G8:J8"/>
    <mergeCell ref="I6:J6"/>
    <mergeCell ref="E8:E9"/>
    <mergeCell ref="F8:F9"/>
    <mergeCell ref="B7:B9"/>
    <mergeCell ref="C8:C9"/>
    <mergeCell ref="C7:E7"/>
    <mergeCell ref="D8:D9"/>
    <mergeCell ref="F7:J7"/>
    <mergeCell ref="K7:L8"/>
    <mergeCell ref="M8:N8"/>
    <mergeCell ref="Q8:R8"/>
    <mergeCell ref="Y8:Z8"/>
    <mergeCell ref="Q6:R6"/>
    <mergeCell ref="U8:V8"/>
  </mergeCells>
  <phoneticPr fontId="0" type="noConversion"/>
  <pageMargins left="0.62992125984251968" right="0.19685039370078741" top="0.74803149606299213" bottom="0.55118110236220474" header="0.51181102362204722" footer="0.51181102362204722"/>
  <pageSetup paperSize="9" scale="8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
  <sheetViews>
    <sheetView workbookViewId="0">
      <selection activeCell="M9" sqref="M9"/>
    </sheetView>
  </sheetViews>
  <sheetFormatPr defaultColWidth="7.1015625" defaultRowHeight="13.9"/>
  <cols>
    <col min="1" max="1" width="4.7890625" style="20" customWidth="1"/>
    <col min="2" max="2" width="25.41796875" style="21" customWidth="1"/>
    <col min="3" max="3" width="15" style="19" bestFit="1" customWidth="1"/>
    <col min="4" max="4" width="27.1015625" style="22" customWidth="1"/>
    <col min="5" max="5" width="7.41796875" style="19" customWidth="1"/>
    <col min="6" max="6" width="7.41796875" style="19" hidden="1" customWidth="1"/>
    <col min="7" max="7" width="7.89453125" style="19" customWidth="1"/>
    <col min="8" max="10" width="8.1015625" style="19" customWidth="1"/>
    <col min="11" max="11" width="7.41796875" style="19" customWidth="1"/>
    <col min="12" max="12" width="6.41796875" style="19" customWidth="1"/>
    <col min="13" max="16384" width="7.1015625" style="19"/>
  </cols>
  <sheetData>
    <row r="1" spans="1:22" ht="24.75" customHeight="1">
      <c r="A1" s="17" t="s">
        <v>84</v>
      </c>
      <c r="B1" s="18"/>
      <c r="C1" s="18"/>
      <c r="D1" s="18"/>
      <c r="E1" s="18"/>
      <c r="F1" s="18"/>
      <c r="G1" s="18"/>
      <c r="H1" s="614" t="s">
        <v>299</v>
      </c>
      <c r="I1" s="614"/>
      <c r="J1" s="614"/>
      <c r="K1" s="614"/>
      <c r="N1" s="20"/>
      <c r="O1" s="21"/>
      <c r="Q1" s="22"/>
    </row>
    <row r="2" spans="1:22" ht="17.649999999999999">
      <c r="A2" s="18"/>
      <c r="B2" s="18"/>
      <c r="C2" s="18"/>
      <c r="D2" s="18"/>
      <c r="E2" s="18"/>
      <c r="F2" s="18"/>
      <c r="G2" s="18"/>
      <c r="H2" s="18"/>
      <c r="I2" s="18"/>
      <c r="J2" s="18"/>
      <c r="K2" s="18"/>
      <c r="N2" s="23"/>
      <c r="O2" s="23"/>
      <c r="P2" s="23"/>
      <c r="Q2" s="23"/>
      <c r="R2" s="23"/>
      <c r="S2" s="23"/>
      <c r="T2" s="23"/>
      <c r="U2" s="23"/>
      <c r="V2" s="23"/>
    </row>
    <row r="3" spans="1:22" ht="57" customHeight="1">
      <c r="A3" s="615" t="s">
        <v>368</v>
      </c>
      <c r="B3" s="615"/>
      <c r="C3" s="615"/>
      <c r="D3" s="615"/>
      <c r="E3" s="615"/>
      <c r="F3" s="615"/>
      <c r="G3" s="615"/>
      <c r="H3" s="615"/>
      <c r="I3" s="615"/>
      <c r="J3" s="615"/>
      <c r="K3" s="615"/>
      <c r="N3" s="23"/>
      <c r="O3" s="23"/>
      <c r="P3" s="23"/>
      <c r="Q3" s="23"/>
      <c r="R3" s="23"/>
      <c r="S3" s="23"/>
      <c r="T3" s="23"/>
      <c r="U3" s="23"/>
      <c r="V3" s="23"/>
    </row>
    <row r="4" spans="1:22" ht="17.649999999999999">
      <c r="A4" s="616" t="e">
        <f>#REF!</f>
        <v>#REF!</v>
      </c>
      <c r="B4" s="617"/>
      <c r="C4" s="617"/>
      <c r="D4" s="617"/>
      <c r="E4" s="617"/>
      <c r="F4" s="617"/>
      <c r="G4" s="617"/>
      <c r="H4" s="617"/>
      <c r="I4" s="617"/>
      <c r="J4" s="617"/>
      <c r="K4" s="617"/>
      <c r="M4" s="22"/>
      <c r="N4" s="22"/>
      <c r="O4" s="22"/>
      <c r="P4" s="22"/>
      <c r="Q4" s="22"/>
      <c r="R4" s="22"/>
      <c r="S4" s="22"/>
      <c r="T4" s="22"/>
      <c r="U4" s="22"/>
      <c r="V4" s="22"/>
    </row>
    <row r="5" spans="1:22" ht="15.75" customHeight="1">
      <c r="A5" s="19"/>
      <c r="B5" s="19"/>
      <c r="D5" s="19"/>
      <c r="E5" s="613" t="s">
        <v>293</v>
      </c>
      <c r="F5" s="613"/>
      <c r="G5" s="613"/>
      <c r="H5" s="613"/>
      <c r="I5" s="613"/>
      <c r="J5" s="613"/>
      <c r="K5" s="613"/>
      <c r="M5" s="22"/>
      <c r="N5" s="22"/>
      <c r="O5" s="22"/>
      <c r="P5" s="22"/>
      <c r="Q5" s="22"/>
      <c r="R5" s="22"/>
      <c r="S5" s="22"/>
      <c r="T5" s="22"/>
      <c r="U5" s="22"/>
      <c r="V5" s="22"/>
    </row>
    <row r="6" spans="1:22" ht="25.5" customHeight="1">
      <c r="A6" s="618" t="s">
        <v>66</v>
      </c>
      <c r="B6" s="618" t="s">
        <v>294</v>
      </c>
      <c r="C6" s="618" t="s">
        <v>295</v>
      </c>
      <c r="D6" s="618" t="s">
        <v>365</v>
      </c>
      <c r="E6" s="622" t="s">
        <v>358</v>
      </c>
      <c r="F6" s="623"/>
      <c r="G6" s="623"/>
      <c r="H6" s="623"/>
      <c r="I6" s="624"/>
      <c r="J6" s="41"/>
      <c r="K6" s="618" t="s">
        <v>14</v>
      </c>
      <c r="M6" s="22"/>
      <c r="N6" s="22"/>
      <c r="O6" s="22"/>
      <c r="P6" s="22"/>
      <c r="Q6" s="22"/>
      <c r="R6" s="22"/>
      <c r="S6" s="22"/>
      <c r="T6" s="22"/>
      <c r="U6" s="22"/>
      <c r="V6" s="22"/>
    </row>
    <row r="7" spans="1:22" ht="15">
      <c r="A7" s="618"/>
      <c r="B7" s="618"/>
      <c r="C7" s="618"/>
      <c r="D7" s="618"/>
      <c r="E7" s="618" t="s">
        <v>213</v>
      </c>
      <c r="F7" s="619" t="s">
        <v>95</v>
      </c>
      <c r="G7" s="620"/>
      <c r="H7" s="620"/>
      <c r="I7" s="621"/>
      <c r="J7" s="625" t="s">
        <v>360</v>
      </c>
      <c r="K7" s="618"/>
      <c r="M7" s="22"/>
      <c r="N7" s="22"/>
      <c r="O7" s="22"/>
      <c r="P7" s="22"/>
      <c r="Q7" s="22"/>
      <c r="R7" s="22"/>
      <c r="S7" s="22"/>
      <c r="T7" s="22"/>
      <c r="U7" s="22"/>
      <c r="V7" s="22"/>
    </row>
    <row r="8" spans="1:22" ht="58.5" customHeight="1">
      <c r="A8" s="618"/>
      <c r="B8" s="618"/>
      <c r="C8" s="618"/>
      <c r="D8" s="618"/>
      <c r="E8" s="618"/>
      <c r="F8" s="32" t="s">
        <v>296</v>
      </c>
      <c r="G8" s="32" t="s">
        <v>297</v>
      </c>
      <c r="H8" s="32" t="s">
        <v>298</v>
      </c>
      <c r="I8" s="40" t="s">
        <v>359</v>
      </c>
      <c r="J8" s="626"/>
      <c r="K8" s="618"/>
      <c r="M8" s="22"/>
      <c r="N8" s="22"/>
      <c r="O8" s="22"/>
      <c r="P8" s="22"/>
      <c r="Q8" s="22"/>
      <c r="R8" s="22"/>
      <c r="S8" s="22"/>
      <c r="T8" s="22"/>
      <c r="U8" s="22"/>
      <c r="V8" s="22"/>
    </row>
    <row r="9" spans="1:22" ht="46.15">
      <c r="A9" s="24">
        <v>1</v>
      </c>
      <c r="B9" s="39" t="s">
        <v>344</v>
      </c>
      <c r="C9" s="33" t="s">
        <v>338</v>
      </c>
      <c r="D9" s="43" t="s">
        <v>372</v>
      </c>
      <c r="E9" s="25">
        <f>F9+G9</f>
        <v>500</v>
      </c>
      <c r="F9" s="26"/>
      <c r="G9" s="26">
        <v>500</v>
      </c>
      <c r="H9" s="26"/>
      <c r="I9" s="26">
        <f>E9*10%</f>
        <v>50</v>
      </c>
      <c r="J9" s="26">
        <f>G9-I9</f>
        <v>450</v>
      </c>
      <c r="K9" s="27"/>
    </row>
    <row r="10" spans="1:22" ht="30.75">
      <c r="A10" s="24">
        <v>2</v>
      </c>
      <c r="B10" s="39" t="s">
        <v>343</v>
      </c>
      <c r="C10" s="33" t="s">
        <v>339</v>
      </c>
      <c r="D10" s="43" t="s">
        <v>369</v>
      </c>
      <c r="E10" s="25">
        <f>F10+G10</f>
        <v>500</v>
      </c>
      <c r="F10" s="26"/>
      <c r="G10" s="26">
        <v>500</v>
      </c>
      <c r="H10" s="26"/>
      <c r="I10" s="26">
        <f>E10*10%</f>
        <v>50</v>
      </c>
      <c r="J10" s="26">
        <f>G10-I10</f>
        <v>450</v>
      </c>
      <c r="K10" s="27"/>
    </row>
    <row r="11" spans="1:22" ht="30.75">
      <c r="A11" s="24">
        <v>3</v>
      </c>
      <c r="B11" s="39" t="s">
        <v>345</v>
      </c>
      <c r="C11" s="29" t="s">
        <v>43</v>
      </c>
      <c r="D11" s="44" t="s">
        <v>370</v>
      </c>
      <c r="E11" s="25">
        <f>F11+G11</f>
        <v>500</v>
      </c>
      <c r="F11" s="26"/>
      <c r="G11" s="26">
        <v>500</v>
      </c>
      <c r="H11" s="26"/>
      <c r="I11" s="26">
        <f>E11*10%</f>
        <v>50</v>
      </c>
      <c r="J11" s="26">
        <f>G11-I11</f>
        <v>450</v>
      </c>
      <c r="K11" s="27"/>
    </row>
    <row r="12" spans="1:22" ht="30.75">
      <c r="A12" s="24">
        <v>4</v>
      </c>
      <c r="B12" s="39" t="s">
        <v>346</v>
      </c>
      <c r="C12" s="28" t="s">
        <v>42</v>
      </c>
      <c r="D12" s="43" t="s">
        <v>371</v>
      </c>
      <c r="E12" s="25">
        <f>F12+G12</f>
        <v>500</v>
      </c>
      <c r="F12" s="26"/>
      <c r="G12" s="26">
        <v>500</v>
      </c>
      <c r="H12" s="26"/>
      <c r="I12" s="26">
        <f>E12*10%</f>
        <v>50</v>
      </c>
      <c r="J12" s="26">
        <f>G12-I12</f>
        <v>450</v>
      </c>
      <c r="K12" s="27"/>
    </row>
    <row r="13" spans="1:22" ht="15.4">
      <c r="A13" s="610" t="s">
        <v>67</v>
      </c>
      <c r="B13" s="611"/>
      <c r="C13" s="611"/>
      <c r="D13" s="612"/>
      <c r="E13" s="30">
        <f t="shared" ref="E13:J13" si="0">SUM(E9:E12)</f>
        <v>2000</v>
      </c>
      <c r="F13" s="30">
        <f t="shared" si="0"/>
        <v>0</v>
      </c>
      <c r="G13" s="30">
        <f t="shared" si="0"/>
        <v>2000</v>
      </c>
      <c r="H13" s="42">
        <f t="shared" si="0"/>
        <v>0</v>
      </c>
      <c r="I13" s="30">
        <f t="shared" si="0"/>
        <v>200</v>
      </c>
      <c r="J13" s="30">
        <f t="shared" si="0"/>
        <v>1800</v>
      </c>
      <c r="K13" s="38"/>
    </row>
    <row r="14" spans="1:22">
      <c r="A14" s="31"/>
    </row>
  </sheetData>
  <mergeCells count="14">
    <mergeCell ref="A13:D13"/>
    <mergeCell ref="E5:K5"/>
    <mergeCell ref="H1:K1"/>
    <mergeCell ref="A3:K3"/>
    <mergeCell ref="A4:K4"/>
    <mergeCell ref="A6:A8"/>
    <mergeCell ref="B6:B8"/>
    <mergeCell ref="C6:C8"/>
    <mergeCell ref="D6:D8"/>
    <mergeCell ref="K6:K8"/>
    <mergeCell ref="E7:E8"/>
    <mergeCell ref="F7:I7"/>
    <mergeCell ref="E6:I6"/>
    <mergeCell ref="J7:J8"/>
  </mergeCells>
  <pageMargins left="0.655511811" right="0.511811023622047" top="0.59055118110236204" bottom="0.55118110236220497" header="0.31496062992126" footer="0.31496062992126"/>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workbookViewId="0">
      <selection activeCell="H8" sqref="H8"/>
    </sheetView>
  </sheetViews>
  <sheetFormatPr defaultColWidth="8.89453125" defaultRowHeight="15.4"/>
  <cols>
    <col min="1" max="1" width="5.1015625" style="46" customWidth="1"/>
    <col min="2" max="2" width="31.1015625" style="72" customWidth="1"/>
    <col min="3" max="3" width="9.7890625" style="46" customWidth="1"/>
    <col min="4" max="5" width="11.68359375" style="46" customWidth="1"/>
    <col min="6" max="6" width="7.41796875" style="46" customWidth="1"/>
    <col min="7" max="7" width="8.68359375" style="47" customWidth="1"/>
    <col min="8" max="8" width="9.68359375" style="47" bestFit="1" customWidth="1"/>
    <col min="9" max="9" width="10.41796875" style="47" bestFit="1" customWidth="1"/>
    <col min="10" max="10" width="11.1015625" style="47" bestFit="1" customWidth="1"/>
    <col min="11" max="12" width="8.89453125" style="47"/>
    <col min="13" max="16384" width="8.89453125" style="46"/>
  </cols>
  <sheetData>
    <row r="1" spans="1:12" ht="24.75" customHeight="1">
      <c r="A1" s="627"/>
      <c r="B1" s="627"/>
      <c r="C1" s="45"/>
      <c r="D1" s="45"/>
      <c r="E1" s="46" t="s">
        <v>374</v>
      </c>
    </row>
    <row r="2" spans="1:12" ht="33.75" customHeight="1">
      <c r="A2" s="628" t="s">
        <v>375</v>
      </c>
      <c r="B2" s="628"/>
      <c r="C2" s="628"/>
      <c r="D2" s="628"/>
      <c r="E2" s="628"/>
    </row>
    <row r="3" spans="1:12" ht="42.75" customHeight="1">
      <c r="A3" s="629" t="s">
        <v>568</v>
      </c>
      <c r="B3" s="629"/>
      <c r="C3" s="629"/>
      <c r="D3" s="629"/>
      <c r="E3" s="629"/>
    </row>
    <row r="4" spans="1:12" s="49" customFormat="1" ht="23.65" customHeight="1">
      <c r="A4" s="630" t="s">
        <v>68</v>
      </c>
      <c r="B4" s="630" t="s">
        <v>376</v>
      </c>
      <c r="C4" s="630" t="s">
        <v>377</v>
      </c>
      <c r="D4" s="630" t="s">
        <v>378</v>
      </c>
      <c r="E4" s="630" t="s">
        <v>379</v>
      </c>
      <c r="G4" s="50"/>
      <c r="H4" s="50"/>
      <c r="I4" s="50"/>
      <c r="J4" s="50"/>
      <c r="K4" s="50"/>
      <c r="L4" s="50"/>
    </row>
    <row r="5" spans="1:12" s="49" customFormat="1">
      <c r="A5" s="630"/>
      <c r="B5" s="630"/>
      <c r="C5" s="630"/>
      <c r="D5" s="630"/>
      <c r="E5" s="630"/>
      <c r="G5" s="50"/>
      <c r="H5" s="50"/>
      <c r="I5" s="50"/>
      <c r="J5" s="50"/>
      <c r="K5" s="50"/>
      <c r="L5" s="50"/>
    </row>
    <row r="6" spans="1:12" s="51" customFormat="1" ht="15">
      <c r="A6" s="48" t="s">
        <v>86</v>
      </c>
      <c r="B6" s="159" t="s">
        <v>380</v>
      </c>
      <c r="C6" s="48"/>
      <c r="D6" s="48"/>
      <c r="E6" s="48"/>
      <c r="G6" s="52"/>
      <c r="H6" s="52"/>
      <c r="I6" s="52"/>
      <c r="J6" s="52"/>
      <c r="K6" s="52"/>
      <c r="L6" s="52"/>
    </row>
    <row r="7" spans="1:12" s="45" customFormat="1" ht="15">
      <c r="A7" s="160">
        <v>1</v>
      </c>
      <c r="B7" s="161" t="s">
        <v>381</v>
      </c>
      <c r="C7" s="160"/>
      <c r="D7" s="160"/>
      <c r="E7" s="162"/>
      <c r="G7" s="53"/>
      <c r="H7" s="53"/>
      <c r="I7" s="54"/>
      <c r="J7" s="54"/>
      <c r="K7" s="54"/>
      <c r="L7" s="54"/>
    </row>
    <row r="8" spans="1:12" s="45" customFormat="1" ht="15">
      <c r="A8" s="163" t="s">
        <v>143</v>
      </c>
      <c r="B8" s="164" t="s">
        <v>382</v>
      </c>
      <c r="C8" s="163"/>
      <c r="D8" s="163"/>
      <c r="E8" s="162"/>
      <c r="G8" s="53"/>
      <c r="H8" s="53"/>
      <c r="I8" s="54"/>
      <c r="J8" s="54"/>
      <c r="K8" s="54"/>
      <c r="L8" s="54"/>
    </row>
    <row r="9" spans="1:12" s="45" customFormat="1" ht="15">
      <c r="A9" s="163"/>
      <c r="B9" s="164" t="s">
        <v>383</v>
      </c>
      <c r="C9" s="163" t="s">
        <v>384</v>
      </c>
      <c r="D9" s="165">
        <f>SUM(D10:D19)</f>
        <v>9501.85</v>
      </c>
      <c r="E9" s="165">
        <f>SUM(E10:E19)</f>
        <v>9501.85</v>
      </c>
      <c r="G9" s="53"/>
      <c r="H9" s="53"/>
      <c r="I9" s="54"/>
      <c r="J9" s="54"/>
      <c r="K9" s="54"/>
      <c r="L9" s="54"/>
    </row>
    <row r="10" spans="1:12" s="55" customFormat="1">
      <c r="A10" s="166"/>
      <c r="B10" s="167" t="s">
        <v>385</v>
      </c>
      <c r="C10" s="168" t="s">
        <v>384</v>
      </c>
      <c r="D10" s="169">
        <v>2032</v>
      </c>
      <c r="E10" s="170">
        <f>D10</f>
        <v>2032</v>
      </c>
      <c r="G10" s="56"/>
      <c r="H10" s="57"/>
      <c r="I10" s="58"/>
      <c r="J10" s="58"/>
      <c r="K10" s="58"/>
      <c r="L10" s="58"/>
    </row>
    <row r="11" spans="1:12" s="55" customFormat="1">
      <c r="A11" s="166"/>
      <c r="B11" s="167" t="s">
        <v>386</v>
      </c>
      <c r="C11" s="168" t="s">
        <v>384</v>
      </c>
      <c r="D11" s="169">
        <v>209</v>
      </c>
      <c r="E11" s="170">
        <f t="shared" ref="E11:E19" si="0">D11</f>
        <v>209</v>
      </c>
      <c r="G11" s="56"/>
      <c r="H11" s="57"/>
      <c r="I11" s="58"/>
      <c r="J11" s="58"/>
      <c r="K11" s="58"/>
      <c r="L11" s="58"/>
    </row>
    <row r="12" spans="1:12" s="55" customFormat="1">
      <c r="A12" s="166"/>
      <c r="B12" s="171" t="s">
        <v>387</v>
      </c>
      <c r="C12" s="168" t="s">
        <v>384</v>
      </c>
      <c r="D12" s="169">
        <v>1992</v>
      </c>
      <c r="E12" s="170">
        <f t="shared" si="0"/>
        <v>1992</v>
      </c>
      <c r="G12" s="56"/>
      <c r="H12" s="57"/>
      <c r="I12" s="58"/>
      <c r="J12" s="58"/>
      <c r="K12" s="58"/>
      <c r="L12" s="58"/>
    </row>
    <row r="13" spans="1:12" s="59" customFormat="1">
      <c r="A13" s="168"/>
      <c r="B13" s="171" t="s">
        <v>388</v>
      </c>
      <c r="C13" s="168" t="s">
        <v>384</v>
      </c>
      <c r="D13" s="169">
        <f>50</f>
        <v>50</v>
      </c>
      <c r="E13" s="170">
        <f t="shared" si="0"/>
        <v>50</v>
      </c>
      <c r="G13" s="56"/>
      <c r="H13" s="60"/>
      <c r="I13" s="61"/>
      <c r="J13" s="61"/>
      <c r="K13" s="61"/>
      <c r="L13" s="61"/>
    </row>
    <row r="14" spans="1:12" s="59" customFormat="1">
      <c r="A14" s="168"/>
      <c r="B14" s="171" t="s">
        <v>389</v>
      </c>
      <c r="C14" s="168" t="s">
        <v>384</v>
      </c>
      <c r="D14" s="169">
        <v>1787</v>
      </c>
      <c r="E14" s="170">
        <f t="shared" si="0"/>
        <v>1787</v>
      </c>
      <c r="G14" s="56"/>
      <c r="H14" s="60"/>
      <c r="I14" s="61"/>
      <c r="J14" s="61"/>
      <c r="K14" s="61"/>
      <c r="L14" s="61"/>
    </row>
    <row r="15" spans="1:12" s="45" customFormat="1">
      <c r="A15" s="168"/>
      <c r="B15" s="171" t="s">
        <v>390</v>
      </c>
      <c r="C15" s="168" t="s">
        <v>384</v>
      </c>
      <c r="D15" s="169">
        <v>85.45</v>
      </c>
      <c r="E15" s="170">
        <f t="shared" si="0"/>
        <v>85.45</v>
      </c>
      <c r="G15" s="56"/>
      <c r="H15" s="53"/>
      <c r="I15" s="54"/>
      <c r="J15" s="54"/>
      <c r="K15" s="54"/>
      <c r="L15" s="54"/>
    </row>
    <row r="16" spans="1:12" s="45" customFormat="1">
      <c r="A16" s="168"/>
      <c r="B16" s="171" t="s">
        <v>391</v>
      </c>
      <c r="C16" s="168" t="s">
        <v>384</v>
      </c>
      <c r="D16" s="170">
        <v>385</v>
      </c>
      <c r="E16" s="170">
        <f t="shared" si="0"/>
        <v>385</v>
      </c>
      <c r="G16" s="56"/>
      <c r="H16" s="53"/>
      <c r="I16" s="54"/>
      <c r="J16" s="54"/>
      <c r="K16" s="54"/>
      <c r="L16" s="54"/>
    </row>
    <row r="17" spans="1:12" s="45" customFormat="1">
      <c r="A17" s="168"/>
      <c r="B17" s="171" t="s">
        <v>392</v>
      </c>
      <c r="C17" s="168" t="s">
        <v>384</v>
      </c>
      <c r="D17" s="169">
        <v>32</v>
      </c>
      <c r="E17" s="170">
        <f t="shared" si="0"/>
        <v>32</v>
      </c>
      <c r="G17" s="56"/>
      <c r="H17" s="53"/>
      <c r="I17" s="54"/>
      <c r="J17" s="54"/>
      <c r="K17" s="54"/>
      <c r="L17" s="54"/>
    </row>
    <row r="18" spans="1:12" s="45" customFormat="1">
      <c r="A18" s="168"/>
      <c r="B18" s="171" t="s">
        <v>393</v>
      </c>
      <c r="C18" s="168" t="s">
        <v>384</v>
      </c>
      <c r="D18" s="169">
        <v>1709.7</v>
      </c>
      <c r="E18" s="170">
        <f t="shared" si="0"/>
        <v>1709.7</v>
      </c>
      <c r="G18" s="56"/>
      <c r="H18" s="53"/>
      <c r="I18" s="54"/>
      <c r="J18" s="54"/>
      <c r="K18" s="54"/>
      <c r="L18" s="54"/>
    </row>
    <row r="19" spans="1:12" s="45" customFormat="1">
      <c r="A19" s="168"/>
      <c r="B19" s="171" t="s">
        <v>394</v>
      </c>
      <c r="C19" s="168" t="s">
        <v>384</v>
      </c>
      <c r="D19" s="169">
        <v>1219.7</v>
      </c>
      <c r="E19" s="170">
        <f t="shared" si="0"/>
        <v>1219.7</v>
      </c>
      <c r="G19" s="56"/>
      <c r="H19" s="53"/>
      <c r="I19" s="54"/>
      <c r="J19" s="54"/>
      <c r="K19" s="54"/>
      <c r="L19" s="54"/>
    </row>
    <row r="20" spans="1:12" s="59" customFormat="1">
      <c r="A20" s="163" t="s">
        <v>145</v>
      </c>
      <c r="B20" s="164" t="s">
        <v>395</v>
      </c>
      <c r="C20" s="163"/>
      <c r="D20" s="163"/>
      <c r="E20" s="172"/>
      <c r="G20" s="56"/>
      <c r="H20" s="61"/>
      <c r="I20" s="61"/>
      <c r="J20" s="61"/>
      <c r="K20" s="61"/>
      <c r="L20" s="61"/>
    </row>
    <row r="21" spans="1:12" s="45" customFormat="1">
      <c r="A21" s="163"/>
      <c r="B21" s="173" t="s">
        <v>396</v>
      </c>
      <c r="C21" s="163" t="s">
        <v>397</v>
      </c>
      <c r="D21" s="174">
        <f>SUM(D22:D26)</f>
        <v>26115</v>
      </c>
      <c r="E21" s="174">
        <f>SUM(E22:E26)</f>
        <v>70248</v>
      </c>
      <c r="G21" s="56"/>
      <c r="H21" s="54"/>
      <c r="I21" s="54"/>
      <c r="J21" s="54"/>
      <c r="K21" s="54"/>
      <c r="L21" s="54"/>
    </row>
    <row r="22" spans="1:12" s="55" customFormat="1">
      <c r="A22" s="175"/>
      <c r="B22" s="176" t="s">
        <v>398</v>
      </c>
      <c r="C22" s="175" t="s">
        <v>397</v>
      </c>
      <c r="D22" s="177">
        <v>7915</v>
      </c>
      <c r="E22" s="178">
        <f>D22</f>
        <v>7915</v>
      </c>
      <c r="G22" s="56"/>
      <c r="H22" s="58"/>
      <c r="I22" s="58"/>
      <c r="J22" s="58"/>
      <c r="K22" s="58"/>
      <c r="L22" s="58"/>
    </row>
    <row r="23" spans="1:12" s="55" customFormat="1">
      <c r="A23" s="175"/>
      <c r="B23" s="176" t="s">
        <v>399</v>
      </c>
      <c r="C23" s="175" t="s">
        <v>400</v>
      </c>
      <c r="D23" s="177">
        <v>9000</v>
      </c>
      <c r="E23" s="178">
        <f>D23</f>
        <v>9000</v>
      </c>
      <c r="F23" s="62"/>
      <c r="G23" s="56"/>
      <c r="H23" s="58"/>
      <c r="I23" s="58"/>
      <c r="J23" s="58"/>
      <c r="K23" s="63"/>
      <c r="L23" s="63"/>
    </row>
    <row r="24" spans="1:12" s="62" customFormat="1">
      <c r="A24" s="175"/>
      <c r="B24" s="176" t="s">
        <v>401</v>
      </c>
      <c r="C24" s="175" t="s">
        <v>400</v>
      </c>
      <c r="D24" s="177">
        <v>9200</v>
      </c>
      <c r="E24" s="178">
        <f>D24</f>
        <v>9200</v>
      </c>
      <c r="F24" s="55"/>
      <c r="G24" s="56"/>
      <c r="H24" s="64"/>
      <c r="I24" s="64"/>
      <c r="J24" s="65"/>
      <c r="K24" s="64"/>
      <c r="L24" s="64"/>
    </row>
    <row r="25" spans="1:12" s="62" customFormat="1">
      <c r="A25" s="175"/>
      <c r="B25" s="176" t="s">
        <v>402</v>
      </c>
      <c r="C25" s="175" t="s">
        <v>400</v>
      </c>
      <c r="D25" s="177"/>
      <c r="E25" s="177">
        <v>44039</v>
      </c>
      <c r="F25" s="55"/>
      <c r="G25" s="56"/>
      <c r="H25" s="64"/>
      <c r="I25" s="64"/>
      <c r="J25" s="64"/>
      <c r="K25" s="64"/>
      <c r="L25" s="64"/>
    </row>
    <row r="26" spans="1:12" s="62" customFormat="1">
      <c r="A26" s="175"/>
      <c r="B26" s="179" t="s">
        <v>403</v>
      </c>
      <c r="C26" s="175" t="s">
        <v>400</v>
      </c>
      <c r="D26" s="177"/>
      <c r="E26" s="177">
        <v>94</v>
      </c>
      <c r="F26" s="55"/>
      <c r="G26" s="56"/>
      <c r="H26" s="64"/>
      <c r="I26" s="64"/>
      <c r="J26" s="64"/>
      <c r="K26" s="64"/>
      <c r="L26" s="64"/>
    </row>
    <row r="27" spans="1:12" s="66" customFormat="1">
      <c r="A27" s="180" t="s">
        <v>2</v>
      </c>
      <c r="B27" s="181" t="s">
        <v>404</v>
      </c>
      <c r="C27" s="182"/>
      <c r="D27" s="177"/>
      <c r="E27" s="177"/>
      <c r="G27" s="56"/>
      <c r="H27" s="67"/>
      <c r="I27" s="67"/>
      <c r="J27" s="67"/>
      <c r="K27" s="67"/>
      <c r="L27" s="67"/>
    </row>
    <row r="28" spans="1:12" s="71" customFormat="1">
      <c r="A28" s="183"/>
      <c r="B28" s="184" t="s">
        <v>405</v>
      </c>
      <c r="C28" s="185" t="s">
        <v>384</v>
      </c>
      <c r="D28" s="177">
        <v>26.4</v>
      </c>
      <c r="E28" s="177">
        <v>28.5</v>
      </c>
      <c r="F28" s="68"/>
      <c r="G28" s="69"/>
      <c r="H28" s="70"/>
      <c r="I28" s="70"/>
      <c r="J28" s="70"/>
      <c r="K28" s="70"/>
      <c r="L28" s="70"/>
    </row>
    <row r="29" spans="1:12">
      <c r="A29" s="186" t="s">
        <v>311</v>
      </c>
      <c r="B29" s="187" t="s">
        <v>406</v>
      </c>
      <c r="C29" s="186"/>
      <c r="D29" s="186"/>
      <c r="E29" s="188"/>
    </row>
    <row r="30" spans="1:12">
      <c r="A30" s="183"/>
      <c r="B30" s="184" t="s">
        <v>407</v>
      </c>
      <c r="C30" s="185" t="s">
        <v>384</v>
      </c>
      <c r="D30" s="177">
        <v>300</v>
      </c>
      <c r="E30" s="177">
        <v>300</v>
      </c>
    </row>
    <row r="31" spans="1:12">
      <c r="A31" s="183"/>
      <c r="B31" s="184" t="s">
        <v>408</v>
      </c>
      <c r="C31" s="185" t="s">
        <v>409</v>
      </c>
      <c r="D31" s="177">
        <v>67</v>
      </c>
      <c r="E31" s="177">
        <v>67</v>
      </c>
    </row>
    <row r="32" spans="1:12">
      <c r="A32" s="160" t="s">
        <v>87</v>
      </c>
      <c r="B32" s="189" t="s">
        <v>410</v>
      </c>
      <c r="C32" s="190"/>
      <c r="D32" s="174"/>
      <c r="E32" s="174"/>
    </row>
    <row r="33" spans="1:9" ht="30.75">
      <c r="A33" s="183" t="s">
        <v>102</v>
      </c>
      <c r="B33" s="191" t="s">
        <v>411</v>
      </c>
      <c r="C33" s="192" t="s">
        <v>409</v>
      </c>
      <c r="D33" s="193"/>
      <c r="E33" s="194" t="s">
        <v>412</v>
      </c>
    </row>
    <row r="34" spans="1:9">
      <c r="A34" s="183" t="s">
        <v>102</v>
      </c>
      <c r="B34" s="195" t="s">
        <v>413</v>
      </c>
      <c r="C34" s="196" t="s">
        <v>409</v>
      </c>
      <c r="D34" s="193">
        <v>99.97</v>
      </c>
      <c r="E34" s="197">
        <v>100</v>
      </c>
    </row>
    <row r="35" spans="1:9" ht="30.75">
      <c r="A35" s="183" t="s">
        <v>102</v>
      </c>
      <c r="B35" s="198" t="s">
        <v>414</v>
      </c>
      <c r="C35" s="196" t="s">
        <v>415</v>
      </c>
      <c r="D35" s="193">
        <v>11</v>
      </c>
      <c r="E35" s="193">
        <v>11</v>
      </c>
    </row>
    <row r="36" spans="1:9">
      <c r="A36" s="160" t="s">
        <v>88</v>
      </c>
      <c r="B36" s="199" t="s">
        <v>416</v>
      </c>
      <c r="C36" s="200"/>
      <c r="D36" s="201"/>
      <c r="E36" s="201"/>
    </row>
    <row r="37" spans="1:9" ht="30.75">
      <c r="A37" s="183" t="s">
        <v>102</v>
      </c>
      <c r="B37" s="4" t="s">
        <v>417</v>
      </c>
      <c r="C37" s="200" t="s">
        <v>409</v>
      </c>
      <c r="D37" s="193"/>
      <c r="E37" s="193">
        <v>90</v>
      </c>
    </row>
    <row r="38" spans="1:9">
      <c r="A38" s="183" t="s">
        <v>102</v>
      </c>
      <c r="B38" s="4" t="s">
        <v>418</v>
      </c>
      <c r="C38" s="200" t="s">
        <v>409</v>
      </c>
      <c r="D38" s="193"/>
      <c r="E38" s="193">
        <v>100</v>
      </c>
    </row>
    <row r="43" spans="1:9">
      <c r="G43" s="73"/>
      <c r="H43" s="73"/>
    </row>
    <row r="44" spans="1:9">
      <c r="G44" s="73"/>
      <c r="H44" s="73"/>
    </row>
    <row r="45" spans="1:9">
      <c r="G45" s="73"/>
      <c r="H45" s="73"/>
    </row>
    <row r="46" spans="1:9">
      <c r="G46" s="73"/>
      <c r="H46" s="73"/>
      <c r="I46" s="73"/>
    </row>
    <row r="47" spans="1:9">
      <c r="G47" s="73"/>
      <c r="H47" s="73"/>
      <c r="I47" s="73"/>
    </row>
    <row r="48" spans="1:9">
      <c r="I48" s="73"/>
    </row>
    <row r="49" spans="7:12">
      <c r="I49" s="73"/>
    </row>
    <row r="50" spans="7:12">
      <c r="I50" s="73"/>
    </row>
    <row r="52" spans="7:12">
      <c r="J52" s="73"/>
      <c r="K52" s="73"/>
      <c r="L52" s="73"/>
    </row>
    <row r="53" spans="7:12">
      <c r="J53" s="73"/>
      <c r="K53" s="73"/>
      <c r="L53" s="73"/>
    </row>
    <row r="54" spans="7:12">
      <c r="J54" s="73"/>
      <c r="K54" s="73"/>
      <c r="L54" s="73"/>
    </row>
    <row r="55" spans="7:12">
      <c r="J55" s="73"/>
      <c r="K55" s="73"/>
      <c r="L55" s="73"/>
    </row>
    <row r="56" spans="7:12">
      <c r="J56" s="73"/>
      <c r="K56" s="73"/>
      <c r="L56" s="73"/>
    </row>
    <row r="60" spans="7:12">
      <c r="G60" s="54"/>
      <c r="H60" s="54"/>
    </row>
    <row r="63" spans="7:12">
      <c r="G63" s="54"/>
      <c r="H63" s="54"/>
      <c r="I63" s="54"/>
    </row>
    <row r="68" spans="1:12">
      <c r="G68" s="54"/>
      <c r="H68" s="54"/>
      <c r="I68" s="54"/>
    </row>
    <row r="69" spans="1:12" s="45" customFormat="1">
      <c r="B69" s="74"/>
      <c r="G69" s="47"/>
      <c r="H69" s="47"/>
      <c r="I69" s="47"/>
      <c r="J69" s="54"/>
      <c r="K69" s="54"/>
      <c r="L69" s="54"/>
    </row>
    <row r="74" spans="1:12" s="45" customFormat="1">
      <c r="A74" s="46"/>
      <c r="B74" s="72"/>
      <c r="C74" s="46"/>
      <c r="D74" s="46"/>
      <c r="E74" s="46"/>
      <c r="F74" s="46"/>
      <c r="G74" s="47"/>
      <c r="H74" s="47"/>
      <c r="I74" s="47"/>
      <c r="J74" s="54"/>
      <c r="K74" s="54"/>
      <c r="L74" s="54"/>
    </row>
  </sheetData>
  <mergeCells count="8">
    <mergeCell ref="A1:B1"/>
    <mergeCell ref="A2:E2"/>
    <mergeCell ref="A3:E3"/>
    <mergeCell ref="A4:A5"/>
    <mergeCell ref="B4:B5"/>
    <mergeCell ref="C4:C5"/>
    <mergeCell ref="D4:D5"/>
    <mergeCell ref="E4:E5"/>
  </mergeCells>
  <pageMargins left="0.7" right="0.7" top="0.75" bottom="0.75" header="0.3" footer="0.3"/>
  <pageSetup paperSize="9" scale="9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7"/>
  <sheetViews>
    <sheetView topLeftCell="B55" workbookViewId="0">
      <selection activeCell="C5" sqref="C5"/>
    </sheetView>
  </sheetViews>
  <sheetFormatPr defaultColWidth="8.1015625" defaultRowHeight="13.9"/>
  <cols>
    <col min="1" max="1" width="4.1015625" style="75" customWidth="1"/>
    <col min="2" max="2" width="27.41796875" style="75" customWidth="1"/>
    <col min="3" max="3" width="6.41796875" style="75" customWidth="1"/>
    <col min="4" max="4" width="7.89453125" style="75" customWidth="1"/>
    <col min="5" max="5" width="8.1015625" style="75" customWidth="1"/>
    <col min="6" max="6" width="9" style="75" customWidth="1"/>
    <col min="7" max="7" width="7.7890625" style="76" customWidth="1"/>
    <col min="8" max="8" width="7.41796875" style="76" customWidth="1"/>
    <col min="9" max="9" width="8.41796875" style="75" customWidth="1"/>
    <col min="10" max="10" width="8.1015625" style="75" customWidth="1"/>
    <col min="11" max="13" width="8.41796875" style="75" customWidth="1"/>
    <col min="14" max="14" width="7.41796875" style="75" customWidth="1"/>
    <col min="15" max="15" width="7.7890625" style="75" customWidth="1"/>
    <col min="16" max="16" width="7.68359375" style="75" customWidth="1"/>
    <col min="17" max="17" width="8.1015625" style="75" customWidth="1"/>
    <col min="18" max="16384" width="8.1015625" style="75"/>
  </cols>
  <sheetData>
    <row r="1" spans="1:17">
      <c r="P1" s="631" t="s">
        <v>419</v>
      </c>
      <c r="Q1" s="631"/>
    </row>
    <row r="2" spans="1:17" ht="21" customHeight="1">
      <c r="A2" s="632" t="s">
        <v>420</v>
      </c>
      <c r="B2" s="632"/>
      <c r="C2" s="632"/>
      <c r="D2" s="632"/>
      <c r="E2" s="632"/>
      <c r="F2" s="632"/>
      <c r="G2" s="632"/>
      <c r="H2" s="632"/>
      <c r="I2" s="632"/>
      <c r="J2" s="632"/>
      <c r="K2" s="632"/>
      <c r="L2" s="632"/>
      <c r="M2" s="632"/>
      <c r="N2" s="632"/>
      <c r="O2" s="632"/>
      <c r="P2" s="632"/>
      <c r="Q2" s="632"/>
    </row>
    <row r="3" spans="1:17" ht="29.65" customHeight="1">
      <c r="A3" s="633" t="str">
        <f>'chỉ tiêu KTXH'!A3:E3</f>
        <v>(Kèm theo Quyết định số          /QĐ-UBND ngày         /12/2021 của UBND huyện Tu Mơ Rông)</v>
      </c>
      <c r="B3" s="633"/>
      <c r="C3" s="633"/>
      <c r="D3" s="633"/>
      <c r="E3" s="633"/>
      <c r="F3" s="633"/>
      <c r="G3" s="633"/>
      <c r="H3" s="633"/>
      <c r="I3" s="633"/>
      <c r="J3" s="633"/>
      <c r="K3" s="633"/>
      <c r="L3" s="633"/>
      <c r="M3" s="633"/>
      <c r="N3" s="633"/>
      <c r="O3" s="633"/>
      <c r="P3" s="633"/>
      <c r="Q3" s="633"/>
    </row>
    <row r="4" spans="1:17" ht="18.75" customHeight="1">
      <c r="A4" s="77"/>
      <c r="B4" s="77"/>
      <c r="C4" s="78"/>
      <c r="D4" s="77"/>
      <c r="E4" s="77"/>
      <c r="F4" s="77"/>
      <c r="G4" s="77"/>
      <c r="H4" s="77"/>
    </row>
    <row r="5" spans="1:17" s="79" customFormat="1" ht="54.75" customHeight="1">
      <c r="A5" s="202" t="s">
        <v>66</v>
      </c>
      <c r="B5" s="202" t="s">
        <v>376</v>
      </c>
      <c r="C5" s="202" t="s">
        <v>421</v>
      </c>
      <c r="D5" s="202" t="s">
        <v>422</v>
      </c>
      <c r="E5" s="202" t="s">
        <v>423</v>
      </c>
      <c r="F5" s="202" t="s">
        <v>424</v>
      </c>
      <c r="G5" s="203" t="s">
        <v>27</v>
      </c>
      <c r="H5" s="203" t="s">
        <v>26</v>
      </c>
      <c r="I5" s="203" t="s">
        <v>25</v>
      </c>
      <c r="J5" s="203" t="s">
        <v>24</v>
      </c>
      <c r="K5" s="203" t="s">
        <v>174</v>
      </c>
      <c r="L5" s="203" t="s">
        <v>28</v>
      </c>
      <c r="M5" s="203" t="s">
        <v>29</v>
      </c>
      <c r="N5" s="203" t="s">
        <v>30</v>
      </c>
      <c r="O5" s="203" t="s">
        <v>32</v>
      </c>
      <c r="P5" s="203" t="s">
        <v>31</v>
      </c>
      <c r="Q5" s="203" t="s">
        <v>33</v>
      </c>
    </row>
    <row r="6" spans="1:17" s="80" customFormat="1">
      <c r="A6" s="204" t="s">
        <v>85</v>
      </c>
      <c r="B6" s="204" t="s">
        <v>425</v>
      </c>
      <c r="C6" s="205"/>
      <c r="D6" s="204"/>
      <c r="E6" s="204"/>
      <c r="F6" s="204"/>
      <c r="G6" s="206"/>
      <c r="H6" s="206"/>
      <c r="I6" s="206"/>
      <c r="J6" s="206"/>
      <c r="K6" s="206"/>
      <c r="L6" s="206"/>
      <c r="M6" s="206"/>
      <c r="N6" s="206"/>
      <c r="O6" s="206"/>
      <c r="P6" s="206"/>
      <c r="Q6" s="207"/>
    </row>
    <row r="7" spans="1:17" s="81" customFormat="1" ht="41.25" customHeight="1">
      <c r="A7" s="204" t="s">
        <v>426</v>
      </c>
      <c r="B7" s="208" t="s">
        <v>427</v>
      </c>
      <c r="C7" s="205" t="s">
        <v>384</v>
      </c>
      <c r="D7" s="209">
        <f t="shared" ref="D7:Q7" si="0">D10+D35+D38+D40+D51</f>
        <v>9501.85</v>
      </c>
      <c r="E7" s="209">
        <f t="shared" si="0"/>
        <v>9501.85</v>
      </c>
      <c r="F7" s="209">
        <f>F10+F35+F38+F40+F51</f>
        <v>9501.85</v>
      </c>
      <c r="G7" s="209">
        <f t="shared" si="0"/>
        <v>706.3</v>
      </c>
      <c r="H7" s="209">
        <f t="shared" si="0"/>
        <v>591.91999999999996</v>
      </c>
      <c r="I7" s="209">
        <f t="shared" si="0"/>
        <v>560.5</v>
      </c>
      <c r="J7" s="209">
        <f t="shared" si="0"/>
        <v>756.93000000000006</v>
      </c>
      <c r="K7" s="209">
        <f t="shared" si="0"/>
        <v>730.4</v>
      </c>
      <c r="L7" s="209">
        <f t="shared" si="0"/>
        <v>527.40000000000009</v>
      </c>
      <c r="M7" s="209">
        <f t="shared" si="0"/>
        <v>524.1</v>
      </c>
      <c r="N7" s="209">
        <f t="shared" si="0"/>
        <v>579</v>
      </c>
      <c r="O7" s="209">
        <f t="shared" si="0"/>
        <v>669.6</v>
      </c>
      <c r="P7" s="209">
        <f t="shared" si="0"/>
        <v>403</v>
      </c>
      <c r="Q7" s="209">
        <f t="shared" si="0"/>
        <v>523.29999999999995</v>
      </c>
    </row>
    <row r="8" spans="1:17" s="82" customFormat="1" ht="23.25" customHeight="1">
      <c r="A8" s="204" t="s">
        <v>426</v>
      </c>
      <c r="B8" s="208" t="s">
        <v>428</v>
      </c>
      <c r="C8" s="205" t="s">
        <v>429</v>
      </c>
      <c r="D8" s="209">
        <v>6008.5</v>
      </c>
      <c r="E8" s="210">
        <f>F8</f>
        <v>6025.2939999999999</v>
      </c>
      <c r="F8" s="210">
        <f>SUM(G8:Q8)</f>
        <v>6025.2939999999999</v>
      </c>
      <c r="G8" s="210">
        <f>G9+G28</f>
        <v>864.77</v>
      </c>
      <c r="H8" s="210">
        <f t="shared" ref="H8:Q8" si="1">H9+H28</f>
        <v>541.09799999999996</v>
      </c>
      <c r="I8" s="210">
        <f t="shared" si="1"/>
        <v>808.46</v>
      </c>
      <c r="J8" s="210">
        <f t="shared" si="1"/>
        <v>530.76400000000001</v>
      </c>
      <c r="K8" s="210">
        <f t="shared" si="1"/>
        <v>341.92999999999995</v>
      </c>
      <c r="L8" s="210">
        <f t="shared" si="1"/>
        <v>451.762</v>
      </c>
      <c r="M8" s="210">
        <f t="shared" si="1"/>
        <v>471.98</v>
      </c>
      <c r="N8" s="210">
        <f t="shared" si="1"/>
        <v>667.35</v>
      </c>
      <c r="O8" s="210">
        <f t="shared" si="1"/>
        <v>442.03999999999996</v>
      </c>
      <c r="P8" s="210">
        <f t="shared" si="1"/>
        <v>383.95</v>
      </c>
      <c r="Q8" s="210">
        <f t="shared" si="1"/>
        <v>521.19000000000005</v>
      </c>
    </row>
    <row r="9" spans="1:17" s="81" customFormat="1" ht="23.25" customHeight="1">
      <c r="A9" s="211"/>
      <c r="B9" s="212" t="s">
        <v>430</v>
      </c>
      <c r="C9" s="205" t="s">
        <v>429</v>
      </c>
      <c r="D9" s="213">
        <v>5310.5</v>
      </c>
      <c r="E9" s="214">
        <f>F9</f>
        <v>5327.2339999999995</v>
      </c>
      <c r="F9" s="214">
        <f>SUM(G9:Q9)</f>
        <v>5327.2339999999995</v>
      </c>
      <c r="G9" s="214">
        <f>G13</f>
        <v>797.97</v>
      </c>
      <c r="H9" s="214">
        <f t="shared" ref="H9:Q9" si="2">H13</f>
        <v>484.31799999999998</v>
      </c>
      <c r="I9" s="214">
        <f t="shared" si="2"/>
        <v>795.1</v>
      </c>
      <c r="J9" s="214">
        <f t="shared" si="2"/>
        <v>530.76400000000001</v>
      </c>
      <c r="K9" s="214">
        <f t="shared" si="2"/>
        <v>301.84999999999997</v>
      </c>
      <c r="L9" s="214">
        <f t="shared" si="2"/>
        <v>361.58199999999999</v>
      </c>
      <c r="M9" s="214">
        <f t="shared" si="2"/>
        <v>365.1</v>
      </c>
      <c r="N9" s="214">
        <f t="shared" si="2"/>
        <v>500.35</v>
      </c>
      <c r="O9" s="214">
        <f t="shared" si="2"/>
        <v>408.64</v>
      </c>
      <c r="P9" s="214">
        <f t="shared" si="2"/>
        <v>343.87</v>
      </c>
      <c r="Q9" s="214">
        <f t="shared" si="2"/>
        <v>437.69</v>
      </c>
    </row>
    <row r="10" spans="1:17" s="81" customFormat="1" ht="23.25" customHeight="1">
      <c r="A10" s="204">
        <v>1</v>
      </c>
      <c r="B10" s="215" t="s">
        <v>431</v>
      </c>
      <c r="C10" s="205" t="s">
        <v>384</v>
      </c>
      <c r="D10" s="209">
        <f>D11+D26</f>
        <v>2241</v>
      </c>
      <c r="E10" s="210">
        <f>F10</f>
        <v>2241</v>
      </c>
      <c r="F10" s="210">
        <f>SUM(G10:Q10)</f>
        <v>2241</v>
      </c>
      <c r="G10" s="210">
        <f>G11+G26</f>
        <v>321</v>
      </c>
      <c r="H10" s="210">
        <f t="shared" ref="H10:Q10" si="3">H11+H26</f>
        <v>211.4</v>
      </c>
      <c r="I10" s="210">
        <f t="shared" si="3"/>
        <v>267</v>
      </c>
      <c r="J10" s="210">
        <f t="shared" si="3"/>
        <v>169</v>
      </c>
      <c r="K10" s="210">
        <f t="shared" si="3"/>
        <v>151</v>
      </c>
      <c r="L10" s="210">
        <f t="shared" si="3"/>
        <v>166.1</v>
      </c>
      <c r="M10" s="210">
        <f t="shared" si="3"/>
        <v>180</v>
      </c>
      <c r="N10" s="210">
        <f t="shared" si="3"/>
        <v>239</v>
      </c>
      <c r="O10" s="210">
        <f t="shared" si="3"/>
        <v>181</v>
      </c>
      <c r="P10" s="210">
        <f t="shared" si="3"/>
        <v>154.5</v>
      </c>
      <c r="Q10" s="210">
        <f t="shared" si="3"/>
        <v>201</v>
      </c>
    </row>
    <row r="11" spans="1:17" ht="23.25" customHeight="1">
      <c r="A11" s="204" t="s">
        <v>143</v>
      </c>
      <c r="B11" s="215" t="s">
        <v>432</v>
      </c>
      <c r="C11" s="205" t="s">
        <v>384</v>
      </c>
      <c r="D11" s="209">
        <f>D14+D17</f>
        <v>2032</v>
      </c>
      <c r="E11" s="210">
        <f>E14+E17</f>
        <v>2032</v>
      </c>
      <c r="F11" s="210">
        <f>F14+F17</f>
        <v>2032</v>
      </c>
      <c r="G11" s="210">
        <f t="shared" ref="G11:Q11" si="4">G14+G17</f>
        <v>301</v>
      </c>
      <c r="H11" s="210">
        <f t="shared" si="4"/>
        <v>194.4</v>
      </c>
      <c r="I11" s="210">
        <f t="shared" si="4"/>
        <v>263</v>
      </c>
      <c r="J11" s="210">
        <f t="shared" si="4"/>
        <v>169</v>
      </c>
      <c r="K11" s="210">
        <f t="shared" si="4"/>
        <v>139</v>
      </c>
      <c r="L11" s="210">
        <f t="shared" si="4"/>
        <v>139.1</v>
      </c>
      <c r="M11" s="210">
        <f t="shared" si="4"/>
        <v>148</v>
      </c>
      <c r="N11" s="210">
        <f t="shared" si="4"/>
        <v>189</v>
      </c>
      <c r="O11" s="210">
        <f t="shared" si="4"/>
        <v>171</v>
      </c>
      <c r="P11" s="210">
        <f t="shared" si="4"/>
        <v>142.5</v>
      </c>
      <c r="Q11" s="210">
        <f t="shared" si="4"/>
        <v>176</v>
      </c>
    </row>
    <row r="12" spans="1:17" ht="23.25" customHeight="1">
      <c r="A12" s="205"/>
      <c r="B12" s="216" t="s">
        <v>433</v>
      </c>
      <c r="C12" s="205" t="s">
        <v>434</v>
      </c>
      <c r="D12" s="213">
        <v>26.1</v>
      </c>
      <c r="E12" s="213">
        <v>26.5</v>
      </c>
      <c r="F12" s="213">
        <v>26.5</v>
      </c>
      <c r="G12" s="214">
        <f t="shared" ref="G12:L12" si="5">G13/G11*10</f>
        <v>26.51063122923588</v>
      </c>
      <c r="H12" s="214">
        <f t="shared" si="5"/>
        <v>24.91347736625514</v>
      </c>
      <c r="I12" s="214">
        <f t="shared" si="5"/>
        <v>30.231939163498097</v>
      </c>
      <c r="J12" s="214">
        <f t="shared" si="5"/>
        <v>31.406153846153849</v>
      </c>
      <c r="K12" s="214">
        <f t="shared" si="5"/>
        <v>21.715827338129493</v>
      </c>
      <c r="L12" s="214">
        <f t="shared" si="5"/>
        <v>25.994392523364485</v>
      </c>
      <c r="M12" s="214">
        <v>24.404054054054054</v>
      </c>
      <c r="N12" s="214">
        <v>26.150397877984087</v>
      </c>
      <c r="O12" s="214">
        <v>23.653801169590643</v>
      </c>
      <c r="P12" s="214">
        <v>23.881403508771932</v>
      </c>
      <c r="Q12" s="214">
        <v>24.598295454545458</v>
      </c>
    </row>
    <row r="13" spans="1:17" ht="23.25" customHeight="1">
      <c r="A13" s="205"/>
      <c r="B13" s="216" t="s">
        <v>435</v>
      </c>
      <c r="C13" s="205" t="s">
        <v>429</v>
      </c>
      <c r="D13" s="213">
        <v>5310.5</v>
      </c>
      <c r="E13" s="214">
        <f>F13</f>
        <v>5327.2339999999986</v>
      </c>
      <c r="F13" s="214">
        <f>F16+F19</f>
        <v>5327.2339999999986</v>
      </c>
      <c r="G13" s="214">
        <f>G16+G19</f>
        <v>797.97</v>
      </c>
      <c r="H13" s="214">
        <f t="shared" ref="H13:Q13" si="6">H16+H19</f>
        <v>484.31799999999998</v>
      </c>
      <c r="I13" s="214">
        <f t="shared" si="6"/>
        <v>795.1</v>
      </c>
      <c r="J13" s="214">
        <f t="shared" si="6"/>
        <v>530.76400000000001</v>
      </c>
      <c r="K13" s="214">
        <f t="shared" si="6"/>
        <v>301.84999999999997</v>
      </c>
      <c r="L13" s="214">
        <f t="shared" si="6"/>
        <v>361.58199999999999</v>
      </c>
      <c r="M13" s="214">
        <f t="shared" si="6"/>
        <v>365.1</v>
      </c>
      <c r="N13" s="214">
        <f t="shared" si="6"/>
        <v>500.35</v>
      </c>
      <c r="O13" s="214">
        <f t="shared" si="6"/>
        <v>408.64</v>
      </c>
      <c r="P13" s="214">
        <f t="shared" si="6"/>
        <v>343.87</v>
      </c>
      <c r="Q13" s="214">
        <f t="shared" si="6"/>
        <v>437.69</v>
      </c>
    </row>
    <row r="14" spans="1:17" s="82" customFormat="1" ht="23.25" customHeight="1">
      <c r="A14" s="205" t="s">
        <v>253</v>
      </c>
      <c r="B14" s="217" t="s">
        <v>436</v>
      </c>
      <c r="C14" s="205" t="s">
        <v>384</v>
      </c>
      <c r="D14" s="213">
        <v>250</v>
      </c>
      <c r="E14" s="214">
        <v>250</v>
      </c>
      <c r="F14" s="214">
        <f>SUM(G14:Q14)</f>
        <v>250</v>
      </c>
      <c r="G14" s="214">
        <v>77</v>
      </c>
      <c r="H14" s="214">
        <v>10</v>
      </c>
      <c r="I14" s="214">
        <v>77</v>
      </c>
      <c r="J14" s="214">
        <v>78</v>
      </c>
      <c r="K14" s="214">
        <v>8</v>
      </c>
      <c r="L14" s="214">
        <v>0</v>
      </c>
      <c r="M14" s="214">
        <v>0</v>
      </c>
      <c r="N14" s="214">
        <v>0</v>
      </c>
      <c r="O14" s="214">
        <v>0</v>
      </c>
      <c r="P14" s="214">
        <v>0</v>
      </c>
      <c r="Q14" s="214">
        <v>0</v>
      </c>
    </row>
    <row r="15" spans="1:17" s="82" customFormat="1" ht="23.25" customHeight="1">
      <c r="A15" s="211"/>
      <c r="B15" s="212" t="s">
        <v>433</v>
      </c>
      <c r="C15" s="205" t="s">
        <v>434</v>
      </c>
      <c r="D15" s="213">
        <v>31.8</v>
      </c>
      <c r="E15" s="214">
        <v>31.88</v>
      </c>
      <c r="F15" s="214">
        <v>31.88</v>
      </c>
      <c r="G15" s="214">
        <v>31</v>
      </c>
      <c r="H15" s="214">
        <v>31</v>
      </c>
      <c r="I15" s="214">
        <v>32</v>
      </c>
      <c r="J15" s="214">
        <v>33.630000000000003</v>
      </c>
      <c r="K15" s="214">
        <v>30.1</v>
      </c>
      <c r="L15" s="214">
        <v>0</v>
      </c>
      <c r="M15" s="214">
        <v>0</v>
      </c>
      <c r="N15" s="214">
        <v>0</v>
      </c>
      <c r="O15" s="214">
        <v>0</v>
      </c>
      <c r="P15" s="214"/>
      <c r="Q15" s="214">
        <v>0</v>
      </c>
    </row>
    <row r="16" spans="1:17" s="82" customFormat="1" ht="23.25" customHeight="1">
      <c r="A16" s="211"/>
      <c r="B16" s="212" t="s">
        <v>435</v>
      </c>
      <c r="C16" s="205" t="s">
        <v>429</v>
      </c>
      <c r="D16" s="213">
        <v>795</v>
      </c>
      <c r="E16" s="214">
        <f>F16</f>
        <v>802.49400000000003</v>
      </c>
      <c r="F16" s="214">
        <f>SUM(G16:Q16)</f>
        <v>802.49400000000003</v>
      </c>
      <c r="G16" s="214">
        <f>G15*G14/10</f>
        <v>238.7</v>
      </c>
      <c r="H16" s="214">
        <f>H15*H14/10</f>
        <v>31</v>
      </c>
      <c r="I16" s="214">
        <f>I15*I14/10</f>
        <v>246.4</v>
      </c>
      <c r="J16" s="214">
        <f>J15*J14/10</f>
        <v>262.31400000000002</v>
      </c>
      <c r="K16" s="214">
        <f>K15*K14/10</f>
        <v>24.080000000000002</v>
      </c>
      <c r="L16" s="214">
        <v>0</v>
      </c>
      <c r="M16" s="214">
        <v>0</v>
      </c>
      <c r="N16" s="214">
        <v>0</v>
      </c>
      <c r="O16" s="214">
        <v>0</v>
      </c>
      <c r="P16" s="214">
        <v>0</v>
      </c>
      <c r="Q16" s="214">
        <v>0</v>
      </c>
    </row>
    <row r="17" spans="1:17" ht="23.25" customHeight="1">
      <c r="A17" s="211" t="s">
        <v>255</v>
      </c>
      <c r="B17" s="218" t="s">
        <v>437</v>
      </c>
      <c r="C17" s="205" t="s">
        <v>384</v>
      </c>
      <c r="D17" s="213">
        <v>1782</v>
      </c>
      <c r="E17" s="214">
        <f>F17</f>
        <v>1782</v>
      </c>
      <c r="F17" s="214">
        <f>SUM(G17:Q17)</f>
        <v>1782</v>
      </c>
      <c r="G17" s="214">
        <f>G20+G23</f>
        <v>224</v>
      </c>
      <c r="H17" s="214">
        <f t="shared" ref="H17:Q17" si="7">H20+H23</f>
        <v>184.4</v>
      </c>
      <c r="I17" s="214">
        <f t="shared" si="7"/>
        <v>186</v>
      </c>
      <c r="J17" s="214">
        <f t="shared" si="7"/>
        <v>91</v>
      </c>
      <c r="K17" s="214">
        <f t="shared" si="7"/>
        <v>131</v>
      </c>
      <c r="L17" s="214">
        <f t="shared" si="7"/>
        <v>139.1</v>
      </c>
      <c r="M17" s="214">
        <f t="shared" si="7"/>
        <v>148</v>
      </c>
      <c r="N17" s="214">
        <f t="shared" si="7"/>
        <v>189</v>
      </c>
      <c r="O17" s="214">
        <f t="shared" si="7"/>
        <v>171</v>
      </c>
      <c r="P17" s="214">
        <f t="shared" si="7"/>
        <v>142.5</v>
      </c>
      <c r="Q17" s="214">
        <f t="shared" si="7"/>
        <v>176</v>
      </c>
    </row>
    <row r="18" spans="1:17" ht="23.25" customHeight="1">
      <c r="A18" s="205"/>
      <c r="B18" s="216" t="s">
        <v>433</v>
      </c>
      <c r="C18" s="205" t="s">
        <v>434</v>
      </c>
      <c r="D18" s="213">
        <v>25.3</v>
      </c>
      <c r="E18" s="214">
        <f>E19/E17*10</f>
        <v>25.39135802469135</v>
      </c>
      <c r="F18" s="214">
        <f>F19/F17*10</f>
        <v>25.39135802469135</v>
      </c>
      <c r="G18" s="214">
        <f>G19/G17*10</f>
        <v>24.967410714285712</v>
      </c>
      <c r="H18" s="214">
        <f t="shared" ref="H18:Q18" si="8">H19/H17*10</f>
        <v>24.583405639913231</v>
      </c>
      <c r="I18" s="214">
        <f t="shared" si="8"/>
        <v>29.5</v>
      </c>
      <c r="J18" s="214">
        <f t="shared" si="8"/>
        <v>29.499999999999996</v>
      </c>
      <c r="K18" s="214">
        <f t="shared" si="8"/>
        <v>21.203816793893129</v>
      </c>
      <c r="L18" s="214">
        <f t="shared" si="8"/>
        <v>25.994392523364485</v>
      </c>
      <c r="M18" s="214">
        <f t="shared" si="8"/>
        <v>24.668918918918919</v>
      </c>
      <c r="N18" s="214">
        <f t="shared" si="8"/>
        <v>26.473544973544975</v>
      </c>
      <c r="O18" s="214">
        <f t="shared" si="8"/>
        <v>23.897076023391811</v>
      </c>
      <c r="P18" s="214">
        <f t="shared" si="8"/>
        <v>24.131228070175439</v>
      </c>
      <c r="Q18" s="214">
        <f t="shared" si="8"/>
        <v>24.868749999999999</v>
      </c>
    </row>
    <row r="19" spans="1:17" s="82" customFormat="1" ht="23.25" customHeight="1">
      <c r="A19" s="205"/>
      <c r="B19" s="216" t="s">
        <v>435</v>
      </c>
      <c r="C19" s="205" t="s">
        <v>429</v>
      </c>
      <c r="D19" s="213">
        <v>4515.5</v>
      </c>
      <c r="E19" s="214">
        <f>F19</f>
        <v>4524.7399999999989</v>
      </c>
      <c r="F19" s="214">
        <f>SUM(G19:Q19)</f>
        <v>4524.7399999999989</v>
      </c>
      <c r="G19" s="214">
        <f>G22+G25</f>
        <v>559.27</v>
      </c>
      <c r="H19" s="214">
        <f t="shared" ref="H19:Q19" si="9">H22+H25</f>
        <v>453.31799999999998</v>
      </c>
      <c r="I19" s="214">
        <f t="shared" si="9"/>
        <v>548.70000000000005</v>
      </c>
      <c r="J19" s="214">
        <f t="shared" si="9"/>
        <v>268.45</v>
      </c>
      <c r="K19" s="214">
        <f t="shared" si="9"/>
        <v>277.77</v>
      </c>
      <c r="L19" s="214">
        <f t="shared" si="9"/>
        <v>361.58199999999999</v>
      </c>
      <c r="M19" s="214">
        <f t="shared" si="9"/>
        <v>365.1</v>
      </c>
      <c r="N19" s="214">
        <f t="shared" si="9"/>
        <v>500.35</v>
      </c>
      <c r="O19" s="214">
        <f t="shared" si="9"/>
        <v>408.64</v>
      </c>
      <c r="P19" s="214">
        <f t="shared" si="9"/>
        <v>343.87</v>
      </c>
      <c r="Q19" s="214">
        <f t="shared" si="9"/>
        <v>437.69</v>
      </c>
    </row>
    <row r="20" spans="1:17" s="82" customFormat="1" ht="23.25" customHeight="1">
      <c r="A20" s="211" t="s">
        <v>426</v>
      </c>
      <c r="B20" s="218" t="s">
        <v>438</v>
      </c>
      <c r="C20" s="205" t="s">
        <v>384</v>
      </c>
      <c r="D20" s="213">
        <v>1270</v>
      </c>
      <c r="E20" s="214">
        <f t="shared" ref="E20:E25" si="10">F20</f>
        <v>1270</v>
      </c>
      <c r="F20" s="214">
        <f>G20+H20+I20+J20+K20+L20+M20+N20+O20+P20+Q20</f>
        <v>1270</v>
      </c>
      <c r="G20" s="214">
        <v>153</v>
      </c>
      <c r="H20" s="214">
        <v>121</v>
      </c>
      <c r="I20" s="214">
        <v>186</v>
      </c>
      <c r="J20" s="214">
        <v>91</v>
      </c>
      <c r="K20" s="214">
        <v>55</v>
      </c>
      <c r="L20" s="214">
        <v>105</v>
      </c>
      <c r="M20" s="214">
        <v>98</v>
      </c>
      <c r="N20" s="214">
        <v>149</v>
      </c>
      <c r="O20" s="214">
        <v>104</v>
      </c>
      <c r="P20" s="214">
        <v>89</v>
      </c>
      <c r="Q20" s="214">
        <v>119</v>
      </c>
    </row>
    <row r="21" spans="1:17" s="82" customFormat="1" ht="23.25" customHeight="1">
      <c r="A21" s="211"/>
      <c r="B21" s="212" t="s">
        <v>433</v>
      </c>
      <c r="C21" s="205" t="s">
        <v>434</v>
      </c>
      <c r="D21" s="213">
        <v>29.5</v>
      </c>
      <c r="E21" s="214">
        <f t="shared" si="10"/>
        <v>29.5</v>
      </c>
      <c r="F21" s="214">
        <v>29.5</v>
      </c>
      <c r="G21" s="214">
        <v>29.5</v>
      </c>
      <c r="H21" s="214">
        <v>29.5</v>
      </c>
      <c r="I21" s="214">
        <v>29.5</v>
      </c>
      <c r="J21" s="214">
        <v>29.5</v>
      </c>
      <c r="K21" s="214">
        <v>29.5</v>
      </c>
      <c r="L21" s="214">
        <v>29.5</v>
      </c>
      <c r="M21" s="214">
        <v>29.5</v>
      </c>
      <c r="N21" s="214">
        <v>29.5</v>
      </c>
      <c r="O21" s="214">
        <v>29.5</v>
      </c>
      <c r="P21" s="214">
        <v>29.5</v>
      </c>
      <c r="Q21" s="214">
        <v>29.5</v>
      </c>
    </row>
    <row r="22" spans="1:17" s="82" customFormat="1" ht="23.25" customHeight="1">
      <c r="A22" s="211"/>
      <c r="B22" s="212" t="s">
        <v>435</v>
      </c>
      <c r="C22" s="205" t="s">
        <v>429</v>
      </c>
      <c r="D22" s="213">
        <v>3746.5</v>
      </c>
      <c r="E22" s="214">
        <f t="shared" si="10"/>
        <v>3746.5</v>
      </c>
      <c r="F22" s="214">
        <f>F21*F20/10</f>
        <v>3746.5</v>
      </c>
      <c r="G22" s="214">
        <f>G21*G20/10</f>
        <v>451.35</v>
      </c>
      <c r="H22" s="214">
        <f t="shared" ref="H22:Q22" si="11">H21*H20/10</f>
        <v>356.95</v>
      </c>
      <c r="I22" s="214">
        <f t="shared" si="11"/>
        <v>548.70000000000005</v>
      </c>
      <c r="J22" s="214">
        <f t="shared" si="11"/>
        <v>268.45</v>
      </c>
      <c r="K22" s="214">
        <f t="shared" si="11"/>
        <v>162.25</v>
      </c>
      <c r="L22" s="214">
        <f t="shared" si="11"/>
        <v>309.75</v>
      </c>
      <c r="M22" s="214">
        <f t="shared" si="11"/>
        <v>289.10000000000002</v>
      </c>
      <c r="N22" s="214">
        <f t="shared" si="11"/>
        <v>439.55</v>
      </c>
      <c r="O22" s="214">
        <f t="shared" si="11"/>
        <v>306.8</v>
      </c>
      <c r="P22" s="214">
        <f t="shared" si="11"/>
        <v>262.55</v>
      </c>
      <c r="Q22" s="214">
        <f t="shared" si="11"/>
        <v>351.05</v>
      </c>
    </row>
    <row r="23" spans="1:17" s="82" customFormat="1" ht="23.25" customHeight="1">
      <c r="A23" s="211" t="s">
        <v>426</v>
      </c>
      <c r="B23" s="218" t="s">
        <v>439</v>
      </c>
      <c r="C23" s="205" t="s">
        <v>384</v>
      </c>
      <c r="D23" s="213">
        <v>512</v>
      </c>
      <c r="E23" s="214">
        <f t="shared" si="10"/>
        <v>512</v>
      </c>
      <c r="F23" s="214">
        <f>G23+H23+I23+J23+K23+L23+M23+N23+O23+P23+Q23</f>
        <v>512</v>
      </c>
      <c r="G23" s="214">
        <v>71</v>
      </c>
      <c r="H23" s="214">
        <v>63.4</v>
      </c>
      <c r="I23" s="214">
        <v>0</v>
      </c>
      <c r="J23" s="214">
        <v>0</v>
      </c>
      <c r="K23" s="214">
        <v>76</v>
      </c>
      <c r="L23" s="214">
        <v>34.1</v>
      </c>
      <c r="M23" s="214">
        <v>50</v>
      </c>
      <c r="N23" s="214">
        <v>40</v>
      </c>
      <c r="O23" s="214">
        <v>67</v>
      </c>
      <c r="P23" s="214">
        <v>53.5</v>
      </c>
      <c r="Q23" s="214">
        <v>57</v>
      </c>
    </row>
    <row r="24" spans="1:17" s="82" customFormat="1" ht="23.25" customHeight="1">
      <c r="A24" s="211"/>
      <c r="B24" s="212" t="s">
        <v>433</v>
      </c>
      <c r="C24" s="205" t="s">
        <v>434</v>
      </c>
      <c r="D24" s="213">
        <v>15</v>
      </c>
      <c r="E24" s="214">
        <f t="shared" si="10"/>
        <v>15.2</v>
      </c>
      <c r="F24" s="214">
        <v>15.2</v>
      </c>
      <c r="G24" s="214">
        <v>15.2</v>
      </c>
      <c r="H24" s="214">
        <v>15.2</v>
      </c>
      <c r="I24" s="214"/>
      <c r="J24" s="214">
        <v>15.2</v>
      </c>
      <c r="K24" s="214">
        <v>15.2</v>
      </c>
      <c r="L24" s="214">
        <v>15.2</v>
      </c>
      <c r="M24" s="214">
        <v>15.2</v>
      </c>
      <c r="N24" s="214">
        <v>15.2</v>
      </c>
      <c r="O24" s="214">
        <v>15.2</v>
      </c>
      <c r="P24" s="214">
        <v>15.2</v>
      </c>
      <c r="Q24" s="214">
        <v>15.2</v>
      </c>
    </row>
    <row r="25" spans="1:17" s="81" customFormat="1" ht="23.25" customHeight="1">
      <c r="A25" s="211"/>
      <c r="B25" s="212" t="s">
        <v>435</v>
      </c>
      <c r="C25" s="205" t="s">
        <v>429</v>
      </c>
      <c r="D25" s="213">
        <v>769</v>
      </c>
      <c r="E25" s="214">
        <f t="shared" si="10"/>
        <v>778.24</v>
      </c>
      <c r="F25" s="214">
        <f>F24*F23/10</f>
        <v>778.24</v>
      </c>
      <c r="G25" s="214">
        <f>G24*G23/10</f>
        <v>107.92</v>
      </c>
      <c r="H25" s="214">
        <f t="shared" ref="H25:Q25" si="12">H24*H23/10</f>
        <v>96.367999999999995</v>
      </c>
      <c r="I25" s="214">
        <f t="shared" si="12"/>
        <v>0</v>
      </c>
      <c r="J25" s="214">
        <f t="shared" si="12"/>
        <v>0</v>
      </c>
      <c r="K25" s="214">
        <f t="shared" si="12"/>
        <v>115.52000000000001</v>
      </c>
      <c r="L25" s="214">
        <f t="shared" si="12"/>
        <v>51.832000000000008</v>
      </c>
      <c r="M25" s="214">
        <f t="shared" si="12"/>
        <v>76</v>
      </c>
      <c r="N25" s="214">
        <f t="shared" si="12"/>
        <v>60.8</v>
      </c>
      <c r="O25" s="214">
        <f t="shared" si="12"/>
        <v>101.84</v>
      </c>
      <c r="P25" s="214">
        <f t="shared" si="12"/>
        <v>81.319999999999993</v>
      </c>
      <c r="Q25" s="214">
        <f t="shared" si="12"/>
        <v>86.64</v>
      </c>
    </row>
    <row r="26" spans="1:17" ht="23.25" customHeight="1">
      <c r="A26" s="204" t="s">
        <v>145</v>
      </c>
      <c r="B26" s="215" t="s">
        <v>440</v>
      </c>
      <c r="C26" s="205" t="s">
        <v>384</v>
      </c>
      <c r="D26" s="209">
        <v>209</v>
      </c>
      <c r="E26" s="210">
        <f>E32</f>
        <v>209</v>
      </c>
      <c r="F26" s="210">
        <f>SUM(G26:Q26)</f>
        <v>209</v>
      </c>
      <c r="G26" s="210">
        <f t="shared" ref="G26:L26" si="13">G32</f>
        <v>20</v>
      </c>
      <c r="H26" s="210">
        <f t="shared" si="13"/>
        <v>17</v>
      </c>
      <c r="I26" s="210">
        <f t="shared" si="13"/>
        <v>4</v>
      </c>
      <c r="J26" s="210">
        <f t="shared" si="13"/>
        <v>0</v>
      </c>
      <c r="K26" s="210">
        <f t="shared" si="13"/>
        <v>12</v>
      </c>
      <c r="L26" s="210">
        <f t="shared" si="13"/>
        <v>27</v>
      </c>
      <c r="M26" s="210">
        <v>32</v>
      </c>
      <c r="N26" s="210">
        <v>50</v>
      </c>
      <c r="O26" s="210">
        <v>10</v>
      </c>
      <c r="P26" s="210">
        <v>12</v>
      </c>
      <c r="Q26" s="210">
        <v>25</v>
      </c>
    </row>
    <row r="27" spans="1:17" ht="23.25" customHeight="1">
      <c r="A27" s="205"/>
      <c r="B27" s="216" t="s">
        <v>433</v>
      </c>
      <c r="C27" s="205" t="s">
        <v>434</v>
      </c>
      <c r="D27" s="213">
        <v>33.4</v>
      </c>
      <c r="E27" s="214">
        <v>33.4</v>
      </c>
      <c r="F27" s="214">
        <v>33.4</v>
      </c>
      <c r="G27" s="214">
        <v>33.4</v>
      </c>
      <c r="H27" s="214">
        <v>33.4</v>
      </c>
      <c r="I27" s="214">
        <v>33.4</v>
      </c>
      <c r="J27" s="214"/>
      <c r="K27" s="214">
        <v>33.4</v>
      </c>
      <c r="L27" s="214">
        <v>33.4</v>
      </c>
      <c r="M27" s="214">
        <v>33.4</v>
      </c>
      <c r="N27" s="214">
        <v>33.4</v>
      </c>
      <c r="O27" s="214">
        <v>33.4</v>
      </c>
      <c r="P27" s="214">
        <v>33.4</v>
      </c>
      <c r="Q27" s="214">
        <v>33.4</v>
      </c>
    </row>
    <row r="28" spans="1:17" s="83" customFormat="1" ht="23.25" customHeight="1">
      <c r="A28" s="205"/>
      <c r="B28" s="216" t="s">
        <v>435</v>
      </c>
      <c r="C28" s="205" t="s">
        <v>429</v>
      </c>
      <c r="D28" s="213">
        <v>698</v>
      </c>
      <c r="E28" s="214">
        <f>E27*E26/10</f>
        <v>698.06</v>
      </c>
      <c r="F28" s="214">
        <f>F27*F26/10</f>
        <v>698.06</v>
      </c>
      <c r="G28" s="214">
        <f>G34</f>
        <v>66.8</v>
      </c>
      <c r="H28" s="214">
        <f t="shared" ref="H28:Q28" si="14">H34</f>
        <v>56.779999999999994</v>
      </c>
      <c r="I28" s="214">
        <f t="shared" si="14"/>
        <v>13.36</v>
      </c>
      <c r="J28" s="214">
        <f t="shared" si="14"/>
        <v>0</v>
      </c>
      <c r="K28" s="214">
        <f t="shared" si="14"/>
        <v>40.08</v>
      </c>
      <c r="L28" s="214">
        <f t="shared" si="14"/>
        <v>90.179999999999993</v>
      </c>
      <c r="M28" s="214">
        <f t="shared" si="14"/>
        <v>106.88</v>
      </c>
      <c r="N28" s="214">
        <f t="shared" si="14"/>
        <v>167</v>
      </c>
      <c r="O28" s="214">
        <f t="shared" si="14"/>
        <v>33.4</v>
      </c>
      <c r="P28" s="214">
        <f t="shared" si="14"/>
        <v>40.08</v>
      </c>
      <c r="Q28" s="214">
        <f t="shared" si="14"/>
        <v>83.5</v>
      </c>
    </row>
    <row r="29" spans="1:17" ht="23.25" customHeight="1">
      <c r="A29" s="219" t="s">
        <v>253</v>
      </c>
      <c r="B29" s="220" t="s">
        <v>441</v>
      </c>
      <c r="C29" s="205" t="s">
        <v>384</v>
      </c>
      <c r="D29" s="221"/>
      <c r="E29" s="222"/>
      <c r="F29" s="222"/>
      <c r="G29" s="223"/>
      <c r="H29" s="223"/>
      <c r="I29" s="223"/>
      <c r="J29" s="223"/>
      <c r="K29" s="223"/>
      <c r="L29" s="223"/>
      <c r="M29" s="223"/>
      <c r="N29" s="223"/>
      <c r="O29" s="223"/>
      <c r="P29" s="223"/>
      <c r="Q29" s="224"/>
    </row>
    <row r="30" spans="1:17" ht="23.25" customHeight="1">
      <c r="A30" s="205"/>
      <c r="B30" s="216" t="s">
        <v>433</v>
      </c>
      <c r="C30" s="205" t="s">
        <v>434</v>
      </c>
      <c r="D30" s="225"/>
      <c r="E30" s="226"/>
      <c r="F30" s="226"/>
      <c r="G30" s="226"/>
      <c r="H30" s="226"/>
      <c r="I30" s="226"/>
      <c r="J30" s="226"/>
      <c r="K30" s="226"/>
      <c r="L30" s="226"/>
      <c r="M30" s="226"/>
      <c r="N30" s="226"/>
      <c r="O30" s="226"/>
      <c r="P30" s="226"/>
      <c r="Q30" s="227"/>
    </row>
    <row r="31" spans="1:17" s="83" customFormat="1" ht="23.25" customHeight="1">
      <c r="A31" s="205"/>
      <c r="B31" s="216" t="s">
        <v>435</v>
      </c>
      <c r="C31" s="205" t="s">
        <v>429</v>
      </c>
      <c r="D31" s="225"/>
      <c r="E31" s="226"/>
      <c r="F31" s="226"/>
      <c r="G31" s="226"/>
      <c r="H31" s="226"/>
      <c r="I31" s="226"/>
      <c r="J31" s="226"/>
      <c r="K31" s="226"/>
      <c r="L31" s="226"/>
      <c r="M31" s="226"/>
      <c r="N31" s="226"/>
      <c r="O31" s="226"/>
      <c r="P31" s="226"/>
      <c r="Q31" s="227"/>
    </row>
    <row r="32" spans="1:17" ht="23.25" customHeight="1">
      <c r="A32" s="219" t="s">
        <v>255</v>
      </c>
      <c r="B32" s="220" t="s">
        <v>442</v>
      </c>
      <c r="C32" s="205" t="s">
        <v>384</v>
      </c>
      <c r="D32" s="209">
        <v>209</v>
      </c>
      <c r="E32" s="210">
        <f>F32</f>
        <v>209</v>
      </c>
      <c r="F32" s="210">
        <f>SUM(G32:Q32)</f>
        <v>209</v>
      </c>
      <c r="G32" s="210">
        <v>20</v>
      </c>
      <c r="H32" s="210">
        <v>17</v>
      </c>
      <c r="I32" s="210">
        <v>4</v>
      </c>
      <c r="J32" s="210">
        <v>0</v>
      </c>
      <c r="K32" s="210">
        <v>12</v>
      </c>
      <c r="L32" s="210">
        <v>27</v>
      </c>
      <c r="M32" s="210">
        <v>32</v>
      </c>
      <c r="N32" s="210">
        <v>50</v>
      </c>
      <c r="O32" s="210">
        <v>10</v>
      </c>
      <c r="P32" s="210">
        <v>12</v>
      </c>
      <c r="Q32" s="210">
        <v>25</v>
      </c>
    </row>
    <row r="33" spans="1:17" ht="23.25" customHeight="1">
      <c r="A33" s="205"/>
      <c r="B33" s="216" t="s">
        <v>433</v>
      </c>
      <c r="C33" s="205" t="s">
        <v>434</v>
      </c>
      <c r="D33" s="213">
        <v>33.4</v>
      </c>
      <c r="E33" s="214">
        <v>33.4</v>
      </c>
      <c r="F33" s="214">
        <v>33.4</v>
      </c>
      <c r="G33" s="214">
        <v>33.4</v>
      </c>
      <c r="H33" s="214">
        <v>33.4</v>
      </c>
      <c r="I33" s="214">
        <v>33.4</v>
      </c>
      <c r="J33" s="214"/>
      <c r="K33" s="214">
        <v>33.4</v>
      </c>
      <c r="L33" s="214">
        <v>33.4</v>
      </c>
      <c r="M33" s="214">
        <v>33.4</v>
      </c>
      <c r="N33" s="214">
        <v>33.4</v>
      </c>
      <c r="O33" s="214">
        <v>33.4</v>
      </c>
      <c r="P33" s="214">
        <v>33.4</v>
      </c>
      <c r="Q33" s="214">
        <v>33.4</v>
      </c>
    </row>
    <row r="34" spans="1:17" s="81" customFormat="1" ht="23.25" customHeight="1">
      <c r="A34" s="205"/>
      <c r="B34" s="216" t="s">
        <v>435</v>
      </c>
      <c r="C34" s="205" t="s">
        <v>429</v>
      </c>
      <c r="D34" s="213">
        <v>698</v>
      </c>
      <c r="E34" s="214">
        <f>E32*E33/10</f>
        <v>698.06</v>
      </c>
      <c r="F34" s="214">
        <f>F32*F33/10</f>
        <v>698.06</v>
      </c>
      <c r="G34" s="214">
        <f>G32*G33/10</f>
        <v>66.8</v>
      </c>
      <c r="H34" s="214">
        <f t="shared" ref="H34:Q34" si="15">H32*H33/10</f>
        <v>56.779999999999994</v>
      </c>
      <c r="I34" s="214">
        <f t="shared" si="15"/>
        <v>13.36</v>
      </c>
      <c r="J34" s="214">
        <f t="shared" si="15"/>
        <v>0</v>
      </c>
      <c r="K34" s="214">
        <f t="shared" si="15"/>
        <v>40.08</v>
      </c>
      <c r="L34" s="214">
        <f t="shared" si="15"/>
        <v>90.179999999999993</v>
      </c>
      <c r="M34" s="214">
        <f t="shared" si="15"/>
        <v>106.88</v>
      </c>
      <c r="N34" s="214">
        <f t="shared" si="15"/>
        <v>167</v>
      </c>
      <c r="O34" s="214">
        <f t="shared" si="15"/>
        <v>33.4</v>
      </c>
      <c r="P34" s="214">
        <f t="shared" si="15"/>
        <v>40.08</v>
      </c>
      <c r="Q34" s="214">
        <f t="shared" si="15"/>
        <v>83.5</v>
      </c>
    </row>
    <row r="35" spans="1:17" ht="23.25" customHeight="1">
      <c r="A35" s="204">
        <v>2</v>
      </c>
      <c r="B35" s="215" t="s">
        <v>443</v>
      </c>
      <c r="C35" s="205" t="s">
        <v>384</v>
      </c>
      <c r="D35" s="209">
        <v>1992</v>
      </c>
      <c r="E35" s="210">
        <v>1992</v>
      </c>
      <c r="F35" s="210">
        <f>SUM(G35:Q35)</f>
        <v>1992</v>
      </c>
      <c r="G35" s="210">
        <v>200</v>
      </c>
      <c r="H35" s="210">
        <v>200</v>
      </c>
      <c r="I35" s="210">
        <v>200</v>
      </c>
      <c r="J35" s="210">
        <v>375</v>
      </c>
      <c r="K35" s="210">
        <v>350</v>
      </c>
      <c r="L35" s="210">
        <v>118</v>
      </c>
      <c r="M35" s="210">
        <v>97</v>
      </c>
      <c r="N35" s="210">
        <v>37</v>
      </c>
      <c r="O35" s="210">
        <v>170</v>
      </c>
      <c r="P35" s="210">
        <v>160</v>
      </c>
      <c r="Q35" s="210">
        <v>85</v>
      </c>
    </row>
    <row r="36" spans="1:17" ht="23.25" customHeight="1">
      <c r="A36" s="205" t="s">
        <v>444</v>
      </c>
      <c r="B36" s="216" t="s">
        <v>433</v>
      </c>
      <c r="C36" s="205" t="s">
        <v>434</v>
      </c>
      <c r="D36" s="213">
        <v>136.9</v>
      </c>
      <c r="E36" s="214">
        <v>136.9</v>
      </c>
      <c r="F36" s="214">
        <v>136.9</v>
      </c>
      <c r="G36" s="214">
        <v>136.9</v>
      </c>
      <c r="H36" s="214">
        <v>136.9</v>
      </c>
      <c r="I36" s="214">
        <v>136.9</v>
      </c>
      <c r="J36" s="214">
        <v>136.9</v>
      </c>
      <c r="K36" s="214">
        <v>136.9</v>
      </c>
      <c r="L36" s="214">
        <v>136.9</v>
      </c>
      <c r="M36" s="214">
        <v>136.9</v>
      </c>
      <c r="N36" s="214">
        <v>136.9</v>
      </c>
      <c r="O36" s="214">
        <v>136.9</v>
      </c>
      <c r="P36" s="214">
        <v>136.9</v>
      </c>
      <c r="Q36" s="214">
        <v>136.9</v>
      </c>
    </row>
    <row r="37" spans="1:17" s="81" customFormat="1" ht="23.25" customHeight="1">
      <c r="A37" s="205"/>
      <c r="B37" s="216" t="s">
        <v>435</v>
      </c>
      <c r="C37" s="205" t="s">
        <v>429</v>
      </c>
      <c r="D37" s="213">
        <v>27270</v>
      </c>
      <c r="E37" s="214">
        <f t="shared" ref="E37:Q37" si="16">E35*E36/10</f>
        <v>27270.48</v>
      </c>
      <c r="F37" s="214">
        <f t="shared" si="16"/>
        <v>27270.48</v>
      </c>
      <c r="G37" s="214">
        <f t="shared" si="16"/>
        <v>2738</v>
      </c>
      <c r="H37" s="214">
        <f t="shared" si="16"/>
        <v>2738</v>
      </c>
      <c r="I37" s="214">
        <f t="shared" si="16"/>
        <v>2738</v>
      </c>
      <c r="J37" s="214">
        <f t="shared" si="16"/>
        <v>5133.75</v>
      </c>
      <c r="K37" s="214">
        <f t="shared" si="16"/>
        <v>4791.5</v>
      </c>
      <c r="L37" s="214">
        <f t="shared" si="16"/>
        <v>1615.42</v>
      </c>
      <c r="M37" s="214">
        <f t="shared" si="16"/>
        <v>1327.93</v>
      </c>
      <c r="N37" s="214">
        <f t="shared" si="16"/>
        <v>506.53000000000003</v>
      </c>
      <c r="O37" s="214">
        <f t="shared" si="16"/>
        <v>2327.3000000000002</v>
      </c>
      <c r="P37" s="214">
        <f t="shared" si="16"/>
        <v>2190.4</v>
      </c>
      <c r="Q37" s="214">
        <f t="shared" si="16"/>
        <v>1163.6500000000001</v>
      </c>
    </row>
    <row r="38" spans="1:17" ht="23.25" customHeight="1">
      <c r="A38" s="204">
        <v>3</v>
      </c>
      <c r="B38" s="215" t="s">
        <v>445</v>
      </c>
      <c r="C38" s="205" t="s">
        <v>384</v>
      </c>
      <c r="D38" s="209">
        <v>50</v>
      </c>
      <c r="E38" s="210">
        <v>50</v>
      </c>
      <c r="F38" s="210">
        <f>SUM(G38:Q38)</f>
        <v>50</v>
      </c>
      <c r="G38" s="210">
        <v>5</v>
      </c>
      <c r="H38" s="210">
        <v>7</v>
      </c>
      <c r="I38" s="210">
        <v>5</v>
      </c>
      <c r="J38" s="210">
        <v>8</v>
      </c>
      <c r="K38" s="210">
        <v>5</v>
      </c>
      <c r="L38" s="210">
        <v>5</v>
      </c>
      <c r="M38" s="210">
        <v>3</v>
      </c>
      <c r="N38" s="210">
        <v>3</v>
      </c>
      <c r="O38" s="210">
        <v>5</v>
      </c>
      <c r="P38" s="210">
        <v>2</v>
      </c>
      <c r="Q38" s="210">
        <v>2</v>
      </c>
    </row>
    <row r="39" spans="1:17" s="81" customFormat="1" ht="23.25" customHeight="1">
      <c r="A39" s="205"/>
      <c r="B39" s="216" t="s">
        <v>446</v>
      </c>
      <c r="C39" s="205" t="s">
        <v>384</v>
      </c>
      <c r="D39" s="213">
        <v>50</v>
      </c>
      <c r="E39" s="214">
        <v>50</v>
      </c>
      <c r="F39" s="214">
        <f>SUM(G39:Q39)</f>
        <v>50</v>
      </c>
      <c r="G39" s="214">
        <v>5</v>
      </c>
      <c r="H39" s="214">
        <v>7</v>
      </c>
      <c r="I39" s="214">
        <v>5</v>
      </c>
      <c r="J39" s="214">
        <v>8</v>
      </c>
      <c r="K39" s="214">
        <v>5</v>
      </c>
      <c r="L39" s="214">
        <v>5</v>
      </c>
      <c r="M39" s="214">
        <v>3</v>
      </c>
      <c r="N39" s="214">
        <v>3</v>
      </c>
      <c r="O39" s="214">
        <v>5</v>
      </c>
      <c r="P39" s="214">
        <v>2</v>
      </c>
      <c r="Q39" s="214">
        <v>2</v>
      </c>
    </row>
    <row r="40" spans="1:17" s="81" customFormat="1" ht="23.25" customHeight="1">
      <c r="A40" s="204">
        <v>4</v>
      </c>
      <c r="B40" s="215" t="s">
        <v>447</v>
      </c>
      <c r="C40" s="205" t="s">
        <v>384</v>
      </c>
      <c r="D40" s="209">
        <f>D41+D46+D47+D49</f>
        <v>2289.4499999999998</v>
      </c>
      <c r="E40" s="209">
        <f t="shared" ref="E40:E50" si="17">F40</f>
        <v>2289.4499999999998</v>
      </c>
      <c r="F40" s="209">
        <f>F41+F46+F47+F49</f>
        <v>2289.4499999999998</v>
      </c>
      <c r="G40" s="209">
        <f t="shared" ref="G40:Q40" si="18">G41+G46+G47+G49</f>
        <v>180.3</v>
      </c>
      <c r="H40" s="209">
        <f t="shared" si="18"/>
        <v>173.52</v>
      </c>
      <c r="I40" s="209">
        <f t="shared" si="18"/>
        <v>88.5</v>
      </c>
      <c r="J40" s="209">
        <f t="shared" si="18"/>
        <v>204.93</v>
      </c>
      <c r="K40" s="209">
        <f t="shared" si="18"/>
        <v>224.4</v>
      </c>
      <c r="L40" s="209">
        <f t="shared" si="18"/>
        <v>238.3</v>
      </c>
      <c r="M40" s="209">
        <f t="shared" si="18"/>
        <v>244.1</v>
      </c>
      <c r="N40" s="209">
        <f t="shared" si="18"/>
        <v>300</v>
      </c>
      <c r="O40" s="209">
        <f t="shared" si="18"/>
        <v>313.60000000000002</v>
      </c>
      <c r="P40" s="209">
        <f t="shared" si="18"/>
        <v>86.5</v>
      </c>
      <c r="Q40" s="209">
        <f t="shared" si="18"/>
        <v>235.29999999999998</v>
      </c>
    </row>
    <row r="41" spans="1:17" s="82" customFormat="1" ht="23.25" customHeight="1">
      <c r="A41" s="204" t="s">
        <v>312</v>
      </c>
      <c r="B41" s="215" t="s">
        <v>448</v>
      </c>
      <c r="C41" s="205" t="s">
        <v>384</v>
      </c>
      <c r="D41" s="209">
        <v>1787</v>
      </c>
      <c r="E41" s="209">
        <f t="shared" si="17"/>
        <v>1787</v>
      </c>
      <c r="F41" s="209">
        <f>SUM(G41:Q41)</f>
        <v>1787</v>
      </c>
      <c r="G41" s="210">
        <v>110.8</v>
      </c>
      <c r="H41" s="210">
        <v>138</v>
      </c>
      <c r="I41" s="210">
        <v>48</v>
      </c>
      <c r="J41" s="210">
        <v>108</v>
      </c>
      <c r="K41" s="210">
        <v>182</v>
      </c>
      <c r="L41" s="210">
        <v>198</v>
      </c>
      <c r="M41" s="210">
        <v>209</v>
      </c>
      <c r="N41" s="210">
        <v>265</v>
      </c>
      <c r="O41" s="210">
        <v>275</v>
      </c>
      <c r="P41" s="210">
        <v>47</v>
      </c>
      <c r="Q41" s="210">
        <v>206.2</v>
      </c>
    </row>
    <row r="42" spans="1:17" ht="23.25" customHeight="1">
      <c r="A42" s="217"/>
      <c r="B42" s="217" t="s">
        <v>449</v>
      </c>
      <c r="C42" s="205" t="s">
        <v>384</v>
      </c>
      <c r="D42" s="213">
        <v>41</v>
      </c>
      <c r="E42" s="214">
        <f t="shared" si="17"/>
        <v>41</v>
      </c>
      <c r="F42" s="214">
        <f>SUM(G42:Q42)</f>
        <v>41</v>
      </c>
      <c r="G42" s="214">
        <v>3</v>
      </c>
      <c r="H42" s="214">
        <v>3</v>
      </c>
      <c r="I42" s="214">
        <v>4</v>
      </c>
      <c r="J42" s="214">
        <v>6</v>
      </c>
      <c r="K42" s="214">
        <v>3</v>
      </c>
      <c r="L42" s="214">
        <v>2</v>
      </c>
      <c r="M42" s="214">
        <v>6</v>
      </c>
      <c r="N42" s="214">
        <v>5</v>
      </c>
      <c r="O42" s="214">
        <v>5</v>
      </c>
      <c r="P42" s="214">
        <v>0</v>
      </c>
      <c r="Q42" s="214">
        <v>4</v>
      </c>
    </row>
    <row r="43" spans="1:17" ht="23.25" customHeight="1">
      <c r="A43" s="228" t="s">
        <v>450</v>
      </c>
      <c r="B43" s="228" t="s">
        <v>451</v>
      </c>
      <c r="C43" s="205" t="s">
        <v>384</v>
      </c>
      <c r="D43" s="213">
        <v>1267</v>
      </c>
      <c r="E43" s="214">
        <f t="shared" si="17"/>
        <v>1267</v>
      </c>
      <c r="F43" s="214">
        <f>SUM(G43:Q43)</f>
        <v>1267</v>
      </c>
      <c r="G43" s="214">
        <v>95</v>
      </c>
      <c r="H43" s="214">
        <v>120</v>
      </c>
      <c r="I43" s="214">
        <v>25</v>
      </c>
      <c r="J43" s="214">
        <v>50</v>
      </c>
      <c r="K43" s="214">
        <v>100</v>
      </c>
      <c r="L43" s="214">
        <v>105</v>
      </c>
      <c r="M43" s="214">
        <v>150</v>
      </c>
      <c r="N43" s="214">
        <v>200</v>
      </c>
      <c r="O43" s="214">
        <v>250</v>
      </c>
      <c r="P43" s="214">
        <v>15</v>
      </c>
      <c r="Q43" s="214">
        <v>157</v>
      </c>
    </row>
    <row r="44" spans="1:17" s="81" customFormat="1" ht="23.25" customHeight="1">
      <c r="A44" s="205"/>
      <c r="B44" s="216" t="s">
        <v>433</v>
      </c>
      <c r="C44" s="205" t="s">
        <v>434</v>
      </c>
      <c r="D44" s="213">
        <v>16</v>
      </c>
      <c r="E44" s="214">
        <f t="shared" si="17"/>
        <v>16</v>
      </c>
      <c r="F44" s="214">
        <v>16</v>
      </c>
      <c r="G44" s="214">
        <v>16</v>
      </c>
      <c r="H44" s="214">
        <v>16</v>
      </c>
      <c r="I44" s="214">
        <v>16</v>
      </c>
      <c r="J44" s="214">
        <v>16</v>
      </c>
      <c r="K44" s="214">
        <v>16</v>
      </c>
      <c r="L44" s="214">
        <v>16</v>
      </c>
      <c r="M44" s="214">
        <v>16</v>
      </c>
      <c r="N44" s="214">
        <v>16</v>
      </c>
      <c r="O44" s="214">
        <v>16</v>
      </c>
      <c r="P44" s="214">
        <v>16</v>
      </c>
      <c r="Q44" s="214">
        <v>16</v>
      </c>
    </row>
    <row r="45" spans="1:17" s="82" customFormat="1" ht="23.25" customHeight="1">
      <c r="A45" s="205"/>
      <c r="B45" s="216" t="s">
        <v>435</v>
      </c>
      <c r="C45" s="205" t="s">
        <v>429</v>
      </c>
      <c r="D45" s="213">
        <v>2027.2</v>
      </c>
      <c r="E45" s="214">
        <f t="shared" si="17"/>
        <v>2027.2</v>
      </c>
      <c r="F45" s="214">
        <v>2027.2</v>
      </c>
      <c r="G45" s="214">
        <f>G43*G44/10</f>
        <v>152</v>
      </c>
      <c r="H45" s="214">
        <f t="shared" ref="H45:Q45" si="19">H43*H44/10</f>
        <v>192</v>
      </c>
      <c r="I45" s="214">
        <f t="shared" si="19"/>
        <v>40</v>
      </c>
      <c r="J45" s="214">
        <f t="shared" si="19"/>
        <v>80</v>
      </c>
      <c r="K45" s="214">
        <f t="shared" si="19"/>
        <v>160</v>
      </c>
      <c r="L45" s="214">
        <f t="shared" si="19"/>
        <v>168</v>
      </c>
      <c r="M45" s="214">
        <f t="shared" si="19"/>
        <v>240</v>
      </c>
      <c r="N45" s="214">
        <f t="shared" si="19"/>
        <v>320</v>
      </c>
      <c r="O45" s="214">
        <f t="shared" si="19"/>
        <v>400</v>
      </c>
      <c r="P45" s="214">
        <f t="shared" si="19"/>
        <v>24</v>
      </c>
      <c r="Q45" s="214">
        <f t="shared" si="19"/>
        <v>251.2</v>
      </c>
    </row>
    <row r="46" spans="1:17" s="82" customFormat="1" ht="23.25" customHeight="1">
      <c r="A46" s="204" t="s">
        <v>314</v>
      </c>
      <c r="B46" s="215" t="s">
        <v>452</v>
      </c>
      <c r="C46" s="205" t="s">
        <v>384</v>
      </c>
      <c r="D46" s="210">
        <v>85.45</v>
      </c>
      <c r="E46" s="210">
        <f t="shared" si="17"/>
        <v>85.45</v>
      </c>
      <c r="F46" s="210">
        <f>SUM(G46:Q46)</f>
        <v>85.45</v>
      </c>
      <c r="G46" s="210">
        <v>25</v>
      </c>
      <c r="H46" s="210">
        <v>1.02</v>
      </c>
      <c r="I46" s="210">
        <v>5</v>
      </c>
      <c r="J46" s="210">
        <v>54.43</v>
      </c>
      <c r="K46" s="210"/>
      <c r="L46" s="210"/>
      <c r="M46" s="210"/>
      <c r="N46" s="210"/>
      <c r="O46" s="210"/>
      <c r="P46" s="210"/>
      <c r="Q46" s="210"/>
    </row>
    <row r="47" spans="1:17" s="81" customFormat="1" ht="23.25" customHeight="1">
      <c r="A47" s="204" t="s">
        <v>313</v>
      </c>
      <c r="B47" s="215" t="s">
        <v>453</v>
      </c>
      <c r="C47" s="205" t="s">
        <v>384</v>
      </c>
      <c r="D47" s="209">
        <v>385</v>
      </c>
      <c r="E47" s="210">
        <f t="shared" si="17"/>
        <v>385</v>
      </c>
      <c r="F47" s="210">
        <f>SUM(G47:Q47)</f>
        <v>385</v>
      </c>
      <c r="G47" s="210">
        <f>25+17</f>
        <v>42</v>
      </c>
      <c r="H47" s="210">
        <f>17+15</f>
        <v>32</v>
      </c>
      <c r="I47" s="210">
        <f>17+17</f>
        <v>34</v>
      </c>
      <c r="J47" s="210">
        <f>20+18</f>
        <v>38</v>
      </c>
      <c r="K47" s="210">
        <f>23+17</f>
        <v>40</v>
      </c>
      <c r="L47" s="210">
        <f>14+15.3</f>
        <v>29.3</v>
      </c>
      <c r="M47" s="210">
        <f>16.1+16</f>
        <v>32.1</v>
      </c>
      <c r="N47" s="210">
        <f>17+17</f>
        <v>34</v>
      </c>
      <c r="O47" s="210">
        <f>19+18</f>
        <v>37</v>
      </c>
      <c r="P47" s="210">
        <f>23+15</f>
        <v>38</v>
      </c>
      <c r="Q47" s="210">
        <f>13.6+15</f>
        <v>28.6</v>
      </c>
    </row>
    <row r="48" spans="1:17" s="82" customFormat="1" ht="20.25" customHeight="1">
      <c r="A48" s="204"/>
      <c r="B48" s="218" t="s">
        <v>454</v>
      </c>
      <c r="C48" s="205"/>
      <c r="D48" s="213">
        <v>185</v>
      </c>
      <c r="E48" s="214">
        <f t="shared" si="17"/>
        <v>185</v>
      </c>
      <c r="F48" s="214">
        <f>SUM(G48:Q48)</f>
        <v>185</v>
      </c>
      <c r="G48" s="214">
        <v>10</v>
      </c>
      <c r="H48" s="214">
        <v>17</v>
      </c>
      <c r="I48" s="214">
        <v>20</v>
      </c>
      <c r="J48" s="214">
        <v>21</v>
      </c>
      <c r="K48" s="214">
        <v>17</v>
      </c>
      <c r="L48" s="214">
        <v>17</v>
      </c>
      <c r="M48" s="214">
        <v>16</v>
      </c>
      <c r="N48" s="214">
        <v>17</v>
      </c>
      <c r="O48" s="214">
        <v>17</v>
      </c>
      <c r="P48" s="214">
        <v>17</v>
      </c>
      <c r="Q48" s="214">
        <v>16</v>
      </c>
    </row>
    <row r="49" spans="1:17" s="82" customFormat="1" ht="23.25" customHeight="1">
      <c r="A49" s="204" t="s">
        <v>455</v>
      </c>
      <c r="B49" s="215" t="s">
        <v>456</v>
      </c>
      <c r="C49" s="205" t="s">
        <v>384</v>
      </c>
      <c r="D49" s="209">
        <v>32</v>
      </c>
      <c r="E49" s="210">
        <f t="shared" si="17"/>
        <v>32</v>
      </c>
      <c r="F49" s="210">
        <f>SUM(G49:Q49)</f>
        <v>32</v>
      </c>
      <c r="G49" s="210">
        <v>2.5</v>
      </c>
      <c r="H49" s="210">
        <v>2.5</v>
      </c>
      <c r="I49" s="210">
        <v>1.5</v>
      </c>
      <c r="J49" s="210">
        <v>4.5</v>
      </c>
      <c r="K49" s="210">
        <v>2.4</v>
      </c>
      <c r="L49" s="210">
        <v>11</v>
      </c>
      <c r="M49" s="210">
        <v>3</v>
      </c>
      <c r="N49" s="210">
        <v>1</v>
      </c>
      <c r="O49" s="210">
        <v>1.6</v>
      </c>
      <c r="P49" s="210">
        <v>1.5</v>
      </c>
      <c r="Q49" s="210">
        <v>0.5</v>
      </c>
    </row>
    <row r="50" spans="1:17" s="82" customFormat="1" ht="23.25" customHeight="1">
      <c r="A50" s="205"/>
      <c r="B50" s="218" t="s">
        <v>457</v>
      </c>
      <c r="C50" s="205"/>
      <c r="D50" s="213">
        <v>15</v>
      </c>
      <c r="E50" s="214">
        <f t="shared" si="17"/>
        <v>15</v>
      </c>
      <c r="F50" s="214">
        <f>SUM(G50:Q50)</f>
        <v>15</v>
      </c>
      <c r="G50" s="214">
        <v>1</v>
      </c>
      <c r="H50" s="214">
        <v>1</v>
      </c>
      <c r="I50" s="214">
        <v>1</v>
      </c>
      <c r="J50" s="214">
        <v>1.5</v>
      </c>
      <c r="K50" s="214">
        <v>1</v>
      </c>
      <c r="L50" s="214">
        <v>3</v>
      </c>
      <c r="M50" s="214">
        <v>2.5</v>
      </c>
      <c r="N50" s="214">
        <v>1</v>
      </c>
      <c r="O50" s="214">
        <v>1</v>
      </c>
      <c r="P50" s="214">
        <v>1</v>
      </c>
      <c r="Q50" s="214">
        <v>1</v>
      </c>
    </row>
    <row r="51" spans="1:17" s="81" customFormat="1" ht="23.25" customHeight="1">
      <c r="A51" s="204">
        <v>5</v>
      </c>
      <c r="B51" s="215" t="s">
        <v>458</v>
      </c>
      <c r="C51" s="204"/>
      <c r="D51" s="209">
        <f>D52+D56</f>
        <v>2929.4</v>
      </c>
      <c r="E51" s="209">
        <f>E52+E56</f>
        <v>2929.4</v>
      </c>
      <c r="F51" s="209">
        <f>F52+F56</f>
        <v>2929.4</v>
      </c>
      <c r="G51" s="210"/>
      <c r="H51" s="210"/>
      <c r="I51" s="210"/>
      <c r="J51" s="210"/>
      <c r="K51" s="210"/>
      <c r="L51" s="210"/>
      <c r="M51" s="210"/>
      <c r="N51" s="210"/>
      <c r="O51" s="210"/>
      <c r="P51" s="210"/>
      <c r="Q51" s="210"/>
    </row>
    <row r="52" spans="1:17" s="82" customFormat="1" ht="23.25" customHeight="1">
      <c r="A52" s="204" t="s">
        <v>309</v>
      </c>
      <c r="B52" s="215" t="s">
        <v>459</v>
      </c>
      <c r="C52" s="205" t="s">
        <v>384</v>
      </c>
      <c r="D52" s="209">
        <v>1709.7</v>
      </c>
      <c r="E52" s="210">
        <f>F52</f>
        <v>1709.7</v>
      </c>
      <c r="F52" s="210">
        <v>1709.7</v>
      </c>
      <c r="G52" s="210"/>
      <c r="H52" s="210"/>
      <c r="I52" s="210"/>
      <c r="J52" s="210"/>
      <c r="K52" s="210"/>
      <c r="L52" s="210"/>
      <c r="M52" s="210"/>
      <c r="N52" s="210"/>
      <c r="O52" s="210"/>
      <c r="P52" s="210"/>
      <c r="Q52" s="210"/>
    </row>
    <row r="53" spans="1:17" s="82" customFormat="1" ht="23.25" customHeight="1">
      <c r="A53" s="205" t="s">
        <v>102</v>
      </c>
      <c r="B53" s="228" t="s">
        <v>460</v>
      </c>
      <c r="C53" s="205" t="s">
        <v>384</v>
      </c>
      <c r="D53" s="213">
        <v>490</v>
      </c>
      <c r="E53" s="214">
        <f>F53</f>
        <v>490</v>
      </c>
      <c r="F53" s="214">
        <v>490</v>
      </c>
      <c r="G53" s="214"/>
      <c r="H53" s="214"/>
      <c r="I53" s="214"/>
      <c r="J53" s="214"/>
      <c r="K53" s="214"/>
      <c r="L53" s="214"/>
      <c r="M53" s="214"/>
      <c r="N53" s="214"/>
      <c r="O53" s="214"/>
      <c r="P53" s="214"/>
      <c r="Q53" s="214"/>
    </row>
    <row r="54" spans="1:17" s="81" customFormat="1" ht="23.25" customHeight="1">
      <c r="A54" s="205" t="s">
        <v>461</v>
      </c>
      <c r="B54" s="228" t="s">
        <v>462</v>
      </c>
      <c r="C54" s="205" t="s">
        <v>384</v>
      </c>
      <c r="D54" s="213"/>
      <c r="E54" s="214">
        <f>F54</f>
        <v>8</v>
      </c>
      <c r="F54" s="214">
        <f>G54+H54+I54+J54+K54+L54+M54+N54+O54+P54+Q54</f>
        <v>8</v>
      </c>
      <c r="G54" s="214">
        <v>0.5</v>
      </c>
      <c r="H54" s="214">
        <v>0.5</v>
      </c>
      <c r="I54" s="214"/>
      <c r="J54" s="214"/>
      <c r="K54" s="214"/>
      <c r="L54" s="214">
        <v>0.3</v>
      </c>
      <c r="M54" s="214">
        <v>2</v>
      </c>
      <c r="N54" s="214">
        <v>3</v>
      </c>
      <c r="O54" s="214">
        <v>0.5</v>
      </c>
      <c r="P54" s="214">
        <v>0.2</v>
      </c>
      <c r="Q54" s="214">
        <v>1</v>
      </c>
    </row>
    <row r="55" spans="1:17" s="81" customFormat="1" ht="23.25" customHeight="1">
      <c r="A55" s="205" t="s">
        <v>461</v>
      </c>
      <c r="B55" s="228" t="s">
        <v>463</v>
      </c>
      <c r="C55" s="205" t="s">
        <v>384</v>
      </c>
      <c r="D55" s="213"/>
      <c r="E55" s="214">
        <f t="shared" ref="E55:E77" si="20">F55</f>
        <v>482</v>
      </c>
      <c r="F55" s="214">
        <v>482</v>
      </c>
      <c r="G55" s="214"/>
      <c r="H55" s="214"/>
      <c r="I55" s="214"/>
      <c r="J55" s="214"/>
      <c r="K55" s="214"/>
      <c r="L55" s="214"/>
      <c r="M55" s="214"/>
      <c r="N55" s="214"/>
      <c r="O55" s="214"/>
      <c r="P55" s="214"/>
      <c r="Q55" s="214"/>
    </row>
    <row r="56" spans="1:17" s="81" customFormat="1" ht="23.25" customHeight="1">
      <c r="A56" s="204" t="s">
        <v>310</v>
      </c>
      <c r="B56" s="208" t="s">
        <v>464</v>
      </c>
      <c r="C56" s="205" t="s">
        <v>384</v>
      </c>
      <c r="D56" s="209">
        <v>1219.7</v>
      </c>
      <c r="E56" s="210">
        <f t="shared" si="20"/>
        <v>1219.7</v>
      </c>
      <c r="F56" s="210">
        <f>SUM(G56:Q56)</f>
        <v>1219.7</v>
      </c>
      <c r="G56" s="210">
        <f t="shared" ref="G56:Q56" si="21">G57</f>
        <v>95</v>
      </c>
      <c r="H56" s="210">
        <f t="shared" si="21"/>
        <v>90</v>
      </c>
      <c r="I56" s="210">
        <f t="shared" si="21"/>
        <v>0</v>
      </c>
      <c r="J56" s="210">
        <f t="shared" si="21"/>
        <v>0</v>
      </c>
      <c r="K56" s="210">
        <f t="shared" si="21"/>
        <v>95</v>
      </c>
      <c r="L56" s="210">
        <f t="shared" si="21"/>
        <v>87</v>
      </c>
      <c r="M56" s="210">
        <f t="shared" si="21"/>
        <v>200.7</v>
      </c>
      <c r="N56" s="210">
        <f t="shared" si="21"/>
        <v>190</v>
      </c>
      <c r="O56" s="210">
        <f t="shared" si="21"/>
        <v>138</v>
      </c>
      <c r="P56" s="210">
        <f t="shared" si="21"/>
        <v>59</v>
      </c>
      <c r="Q56" s="210">
        <f t="shared" si="21"/>
        <v>265</v>
      </c>
    </row>
    <row r="57" spans="1:17" s="81" customFormat="1" ht="54" customHeight="1">
      <c r="A57" s="229" t="s">
        <v>102</v>
      </c>
      <c r="B57" s="228" t="s">
        <v>465</v>
      </c>
      <c r="C57" s="205" t="s">
        <v>384</v>
      </c>
      <c r="D57" s="213"/>
      <c r="E57" s="214">
        <f t="shared" si="20"/>
        <v>1219.7</v>
      </c>
      <c r="F57" s="214">
        <f>SUM(G57:Q57)</f>
        <v>1219.7</v>
      </c>
      <c r="G57" s="214">
        <v>95</v>
      </c>
      <c r="H57" s="214">
        <v>90</v>
      </c>
      <c r="I57" s="214">
        <v>0</v>
      </c>
      <c r="J57" s="214">
        <v>0</v>
      </c>
      <c r="K57" s="214">
        <v>95</v>
      </c>
      <c r="L57" s="214">
        <v>87</v>
      </c>
      <c r="M57" s="214">
        <v>200.7</v>
      </c>
      <c r="N57" s="214">
        <v>190</v>
      </c>
      <c r="O57" s="214">
        <v>138</v>
      </c>
      <c r="P57" s="214">
        <v>59</v>
      </c>
      <c r="Q57" s="214">
        <v>265</v>
      </c>
    </row>
    <row r="58" spans="1:17" s="81" customFormat="1" ht="23.25" customHeight="1">
      <c r="A58" s="205" t="s">
        <v>102</v>
      </c>
      <c r="B58" s="228" t="s">
        <v>466</v>
      </c>
      <c r="C58" s="205" t="s">
        <v>384</v>
      </c>
      <c r="D58" s="213">
        <v>500</v>
      </c>
      <c r="E58" s="214">
        <f t="shared" si="20"/>
        <v>500</v>
      </c>
      <c r="F58" s="214">
        <f>SUM(G58:Q58)</f>
        <v>500</v>
      </c>
      <c r="G58" s="214">
        <f>G59+G62+G63</f>
        <v>45</v>
      </c>
      <c r="H58" s="214">
        <f t="shared" ref="H58:Q58" si="22">H59+H62+H63</f>
        <v>40.5</v>
      </c>
      <c r="I58" s="214">
        <f t="shared" si="22"/>
        <v>8</v>
      </c>
      <c r="J58" s="214">
        <f t="shared" si="22"/>
        <v>3</v>
      </c>
      <c r="K58" s="214">
        <f t="shared" si="22"/>
        <v>40</v>
      </c>
      <c r="L58" s="214">
        <f t="shared" si="22"/>
        <v>38</v>
      </c>
      <c r="M58" s="214">
        <f t="shared" si="22"/>
        <v>55</v>
      </c>
      <c r="N58" s="214">
        <f t="shared" si="22"/>
        <v>56.5</v>
      </c>
      <c r="O58" s="214">
        <f t="shared" si="22"/>
        <v>51</v>
      </c>
      <c r="P58" s="214">
        <f t="shared" si="22"/>
        <v>43</v>
      </c>
      <c r="Q58" s="214">
        <f t="shared" si="22"/>
        <v>120</v>
      </c>
    </row>
    <row r="59" spans="1:17" s="84" customFormat="1" ht="23.25" customHeight="1">
      <c r="A59" s="229" t="s">
        <v>461</v>
      </c>
      <c r="B59" s="228" t="s">
        <v>467</v>
      </c>
      <c r="C59" s="205" t="s">
        <v>384</v>
      </c>
      <c r="D59" s="213"/>
      <c r="E59" s="214">
        <f t="shared" si="20"/>
        <v>58</v>
      </c>
      <c r="F59" s="214">
        <f>SUM(G59:Q59)</f>
        <v>58</v>
      </c>
      <c r="G59" s="214">
        <f>G60</f>
        <v>7</v>
      </c>
      <c r="H59" s="214">
        <f>H60</f>
        <v>3.5</v>
      </c>
      <c r="I59" s="214">
        <v>0</v>
      </c>
      <c r="J59" s="214">
        <v>0</v>
      </c>
      <c r="K59" s="214">
        <v>2</v>
      </c>
      <c r="L59" s="214">
        <v>4</v>
      </c>
      <c r="M59" s="214">
        <v>10</v>
      </c>
      <c r="N59" s="214">
        <f>N60</f>
        <v>12.5</v>
      </c>
      <c r="O59" s="214">
        <v>4</v>
      </c>
      <c r="P59" s="214">
        <v>3</v>
      </c>
      <c r="Q59" s="214">
        <v>12</v>
      </c>
    </row>
    <row r="60" spans="1:17" s="84" customFormat="1" ht="23.25" customHeight="1">
      <c r="A60" s="217"/>
      <c r="B60" s="217" t="s">
        <v>468</v>
      </c>
      <c r="C60" s="205" t="s">
        <v>384</v>
      </c>
      <c r="D60" s="213"/>
      <c r="E60" s="214">
        <f t="shared" si="20"/>
        <v>58</v>
      </c>
      <c r="F60" s="214">
        <f>SUM(G60:Q60)</f>
        <v>58</v>
      </c>
      <c r="G60" s="214">
        <v>7</v>
      </c>
      <c r="H60" s="214">
        <v>3.5</v>
      </c>
      <c r="I60" s="214">
        <v>0</v>
      </c>
      <c r="J60" s="214">
        <v>0</v>
      </c>
      <c r="K60" s="214">
        <v>2</v>
      </c>
      <c r="L60" s="214">
        <v>4</v>
      </c>
      <c r="M60" s="214">
        <v>10</v>
      </c>
      <c r="N60" s="214">
        <v>12.5</v>
      </c>
      <c r="O60" s="214">
        <v>4</v>
      </c>
      <c r="P60" s="214">
        <v>3</v>
      </c>
      <c r="Q60" s="214">
        <v>12</v>
      </c>
    </row>
    <row r="61" spans="1:17" s="85" customFormat="1" ht="33.75" customHeight="1">
      <c r="A61" s="229" t="s">
        <v>461</v>
      </c>
      <c r="B61" s="228" t="s">
        <v>469</v>
      </c>
      <c r="C61" s="205" t="s">
        <v>384</v>
      </c>
      <c r="D61" s="213"/>
      <c r="E61" s="214">
        <f t="shared" si="20"/>
        <v>442</v>
      </c>
      <c r="F61" s="214">
        <f>F62+F63</f>
        <v>442</v>
      </c>
      <c r="G61" s="214">
        <f t="shared" ref="G61:Q61" si="23">G62+G63</f>
        <v>38</v>
      </c>
      <c r="H61" s="214">
        <f>H62+H63</f>
        <v>37</v>
      </c>
      <c r="I61" s="214">
        <f t="shared" si="23"/>
        <v>8</v>
      </c>
      <c r="J61" s="214">
        <f>J62</f>
        <v>3</v>
      </c>
      <c r="K61" s="214">
        <f t="shared" si="23"/>
        <v>38</v>
      </c>
      <c r="L61" s="214">
        <f t="shared" si="23"/>
        <v>34</v>
      </c>
      <c r="M61" s="214">
        <f t="shared" si="23"/>
        <v>45</v>
      </c>
      <c r="N61" s="214">
        <f t="shared" si="23"/>
        <v>44</v>
      </c>
      <c r="O61" s="214">
        <f t="shared" si="23"/>
        <v>47</v>
      </c>
      <c r="P61" s="214">
        <f t="shared" si="23"/>
        <v>40</v>
      </c>
      <c r="Q61" s="214">
        <f t="shared" si="23"/>
        <v>108</v>
      </c>
    </row>
    <row r="62" spans="1:17" s="86" customFormat="1" ht="23.25" customHeight="1">
      <c r="A62" s="217"/>
      <c r="B62" s="217" t="s">
        <v>468</v>
      </c>
      <c r="C62" s="205" t="s">
        <v>384</v>
      </c>
      <c r="D62" s="213"/>
      <c r="E62" s="214">
        <f t="shared" si="20"/>
        <v>142</v>
      </c>
      <c r="F62" s="214">
        <f t="shared" ref="F62:F68" si="24">SUM(G62:Q62)</f>
        <v>142</v>
      </c>
      <c r="G62" s="214">
        <v>16</v>
      </c>
      <c r="H62" s="214">
        <v>17</v>
      </c>
      <c r="I62" s="214">
        <v>8</v>
      </c>
      <c r="J62" s="214">
        <v>3</v>
      </c>
      <c r="K62" s="214">
        <v>15</v>
      </c>
      <c r="L62" s="214">
        <v>12</v>
      </c>
      <c r="M62" s="214">
        <v>15</v>
      </c>
      <c r="N62" s="214">
        <v>14</v>
      </c>
      <c r="O62" s="214">
        <v>15</v>
      </c>
      <c r="P62" s="214">
        <v>10</v>
      </c>
      <c r="Q62" s="214">
        <v>17</v>
      </c>
    </row>
    <row r="63" spans="1:17" ht="23.25" customHeight="1">
      <c r="A63" s="228"/>
      <c r="B63" s="228" t="s">
        <v>470</v>
      </c>
      <c r="C63" s="205" t="s">
        <v>384</v>
      </c>
      <c r="D63" s="213"/>
      <c r="E63" s="214">
        <f t="shared" si="20"/>
        <v>300</v>
      </c>
      <c r="F63" s="214">
        <f t="shared" si="24"/>
        <v>300</v>
      </c>
      <c r="G63" s="214">
        <v>22</v>
      </c>
      <c r="H63" s="214">
        <v>20</v>
      </c>
      <c r="I63" s="214">
        <v>0</v>
      </c>
      <c r="J63" s="214">
        <v>0</v>
      </c>
      <c r="K63" s="214">
        <v>23</v>
      </c>
      <c r="L63" s="214">
        <v>22</v>
      </c>
      <c r="M63" s="214">
        <v>30</v>
      </c>
      <c r="N63" s="214">
        <v>30</v>
      </c>
      <c r="O63" s="214">
        <v>32</v>
      </c>
      <c r="P63" s="214">
        <v>30</v>
      </c>
      <c r="Q63" s="214">
        <v>91</v>
      </c>
    </row>
    <row r="64" spans="1:17" ht="18.75" customHeight="1">
      <c r="A64" s="204" t="s">
        <v>89</v>
      </c>
      <c r="B64" s="204" t="s">
        <v>471</v>
      </c>
      <c r="C64" s="205"/>
      <c r="D64" s="209">
        <f>D65+D66+D67</f>
        <v>26115</v>
      </c>
      <c r="E64" s="210">
        <f t="shared" si="20"/>
        <v>70248</v>
      </c>
      <c r="F64" s="210">
        <f>F65+F66+F67+F68+F69</f>
        <v>70248</v>
      </c>
      <c r="G64" s="210">
        <f>G65+G66+G67+G68+G69</f>
        <v>6968</v>
      </c>
      <c r="H64" s="210">
        <f t="shared" ref="H64:Q64" si="25">H65+H66+H67+H68+H69</f>
        <v>9775</v>
      </c>
      <c r="I64" s="210">
        <f t="shared" si="25"/>
        <v>7775</v>
      </c>
      <c r="J64" s="210">
        <f t="shared" si="25"/>
        <v>12798</v>
      </c>
      <c r="K64" s="210">
        <f t="shared" si="25"/>
        <v>4409</v>
      </c>
      <c r="L64" s="210">
        <f t="shared" si="25"/>
        <v>4635</v>
      </c>
      <c r="M64" s="210">
        <f t="shared" si="25"/>
        <v>5896</v>
      </c>
      <c r="N64" s="210">
        <f t="shared" si="25"/>
        <v>3390</v>
      </c>
      <c r="O64" s="210">
        <f t="shared" si="25"/>
        <v>4046</v>
      </c>
      <c r="P64" s="210">
        <f t="shared" si="25"/>
        <v>4127</v>
      </c>
      <c r="Q64" s="210">
        <f t="shared" si="25"/>
        <v>6429</v>
      </c>
    </row>
    <row r="65" spans="1:17" ht="18.75" customHeight="1">
      <c r="A65" s="205">
        <v>1</v>
      </c>
      <c r="B65" s="217" t="s">
        <v>472</v>
      </c>
      <c r="C65" s="205" t="s">
        <v>397</v>
      </c>
      <c r="D65" s="213">
        <v>7915</v>
      </c>
      <c r="E65" s="214">
        <f t="shared" si="20"/>
        <v>7915</v>
      </c>
      <c r="F65" s="214">
        <f t="shared" si="24"/>
        <v>7915</v>
      </c>
      <c r="G65" s="214">
        <v>1015</v>
      </c>
      <c r="H65" s="214">
        <v>970</v>
      </c>
      <c r="I65" s="214">
        <v>1185</v>
      </c>
      <c r="J65" s="214">
        <v>490</v>
      </c>
      <c r="K65" s="214">
        <v>450</v>
      </c>
      <c r="L65" s="214">
        <v>455</v>
      </c>
      <c r="M65" s="214">
        <v>821</v>
      </c>
      <c r="N65" s="214">
        <v>580</v>
      </c>
      <c r="O65" s="214">
        <v>482</v>
      </c>
      <c r="P65" s="214">
        <v>630</v>
      </c>
      <c r="Q65" s="214">
        <v>837</v>
      </c>
    </row>
    <row r="66" spans="1:17" ht="18.75" customHeight="1">
      <c r="A66" s="205">
        <v>2</v>
      </c>
      <c r="B66" s="217" t="s">
        <v>473</v>
      </c>
      <c r="C66" s="205" t="s">
        <v>397</v>
      </c>
      <c r="D66" s="213">
        <v>9000</v>
      </c>
      <c r="E66" s="214">
        <f t="shared" si="20"/>
        <v>9000</v>
      </c>
      <c r="F66" s="214">
        <f t="shared" si="24"/>
        <v>9000</v>
      </c>
      <c r="G66" s="214">
        <v>1985</v>
      </c>
      <c r="H66" s="214">
        <v>1235</v>
      </c>
      <c r="I66" s="214">
        <v>1235</v>
      </c>
      <c r="J66" s="214">
        <v>420</v>
      </c>
      <c r="K66" s="214">
        <v>468</v>
      </c>
      <c r="L66" s="214">
        <v>585</v>
      </c>
      <c r="M66" s="214">
        <v>783</v>
      </c>
      <c r="N66" s="214">
        <v>700</v>
      </c>
      <c r="O66" s="214">
        <v>464</v>
      </c>
      <c r="P66" s="214">
        <v>580</v>
      </c>
      <c r="Q66" s="214">
        <v>545</v>
      </c>
    </row>
    <row r="67" spans="1:17" ht="18.75" customHeight="1">
      <c r="A67" s="205">
        <v>3</v>
      </c>
      <c r="B67" s="217" t="s">
        <v>474</v>
      </c>
      <c r="C67" s="205" t="s">
        <v>397</v>
      </c>
      <c r="D67" s="213">
        <v>9200</v>
      </c>
      <c r="E67" s="214">
        <f t="shared" si="20"/>
        <v>9200</v>
      </c>
      <c r="F67" s="214">
        <f t="shared" si="24"/>
        <v>9200</v>
      </c>
      <c r="G67" s="214">
        <v>598</v>
      </c>
      <c r="H67" s="214">
        <v>1270</v>
      </c>
      <c r="I67" s="214">
        <v>400</v>
      </c>
      <c r="J67" s="214">
        <v>4500</v>
      </c>
      <c r="K67" s="214">
        <v>191</v>
      </c>
      <c r="L67" s="214">
        <v>490</v>
      </c>
      <c r="M67" s="214">
        <v>280</v>
      </c>
      <c r="N67" s="214">
        <v>820</v>
      </c>
      <c r="O67" s="214">
        <v>266</v>
      </c>
      <c r="P67" s="214">
        <v>50</v>
      </c>
      <c r="Q67" s="214">
        <v>335</v>
      </c>
    </row>
    <row r="68" spans="1:17" ht="18.75" customHeight="1">
      <c r="A68" s="205">
        <v>4</v>
      </c>
      <c r="B68" s="217" t="s">
        <v>475</v>
      </c>
      <c r="C68" s="205" t="s">
        <v>397</v>
      </c>
      <c r="D68" s="213"/>
      <c r="E68" s="214">
        <f t="shared" si="20"/>
        <v>94</v>
      </c>
      <c r="F68" s="214">
        <f t="shared" si="24"/>
        <v>94</v>
      </c>
      <c r="G68" s="214">
        <v>70</v>
      </c>
      <c r="H68" s="214">
        <v>24</v>
      </c>
      <c r="I68" s="214"/>
      <c r="J68" s="214"/>
      <c r="K68" s="214"/>
      <c r="L68" s="214"/>
      <c r="M68" s="214"/>
      <c r="N68" s="214"/>
      <c r="O68" s="214"/>
      <c r="P68" s="214"/>
      <c r="Q68" s="214"/>
    </row>
    <row r="69" spans="1:17" ht="18.75" customHeight="1">
      <c r="A69" s="205">
        <v>5</v>
      </c>
      <c r="B69" s="217" t="s">
        <v>476</v>
      </c>
      <c r="C69" s="205" t="s">
        <v>397</v>
      </c>
      <c r="D69" s="213"/>
      <c r="E69" s="214">
        <f t="shared" si="20"/>
        <v>44039</v>
      </c>
      <c r="F69" s="214">
        <f>SUM(G69:Q69)</f>
        <v>44039</v>
      </c>
      <c r="G69" s="214">
        <v>3300</v>
      </c>
      <c r="H69" s="214">
        <v>6276</v>
      </c>
      <c r="I69" s="214">
        <v>4955</v>
      </c>
      <c r="J69" s="214">
        <v>7388</v>
      </c>
      <c r="K69" s="214">
        <v>3300</v>
      </c>
      <c r="L69" s="214">
        <v>3105</v>
      </c>
      <c r="M69" s="214">
        <v>4012</v>
      </c>
      <c r="N69" s="214">
        <v>1290</v>
      </c>
      <c r="O69" s="214">
        <v>2834</v>
      </c>
      <c r="P69" s="214">
        <v>2867</v>
      </c>
      <c r="Q69" s="214">
        <v>4712</v>
      </c>
    </row>
    <row r="70" spans="1:17" s="81" customFormat="1">
      <c r="A70" s="204" t="s">
        <v>109</v>
      </c>
      <c r="B70" s="204" t="s">
        <v>477</v>
      </c>
      <c r="C70" s="204"/>
      <c r="D70" s="209"/>
      <c r="E70" s="214">
        <f t="shared" si="20"/>
        <v>0</v>
      </c>
      <c r="F70" s="210"/>
      <c r="G70" s="210"/>
      <c r="H70" s="210"/>
      <c r="I70" s="210"/>
      <c r="J70" s="210"/>
      <c r="K70" s="210"/>
      <c r="L70" s="210"/>
      <c r="M70" s="210"/>
      <c r="N70" s="210"/>
      <c r="O70" s="210"/>
      <c r="P70" s="210"/>
      <c r="Q70" s="210"/>
    </row>
    <row r="71" spans="1:17" ht="21.75" customHeight="1">
      <c r="A71" s="230" t="s">
        <v>426</v>
      </c>
      <c r="B71" s="231" t="s">
        <v>478</v>
      </c>
      <c r="C71" s="230" t="s">
        <v>429</v>
      </c>
      <c r="D71" s="213">
        <v>92</v>
      </c>
      <c r="E71" s="214">
        <f t="shared" si="20"/>
        <v>99.749999999999986</v>
      </c>
      <c r="F71" s="214">
        <f>SUM(G71:Q71)</f>
        <v>99.749999999999986</v>
      </c>
      <c r="G71" s="214">
        <f t="shared" ref="G71:L71" si="26">G75</f>
        <v>21</v>
      </c>
      <c r="H71" s="214">
        <f t="shared" si="26"/>
        <v>11.55</v>
      </c>
      <c r="I71" s="214">
        <f t="shared" si="26"/>
        <v>7</v>
      </c>
      <c r="J71" s="214">
        <f t="shared" si="26"/>
        <v>7</v>
      </c>
      <c r="K71" s="214">
        <f t="shared" si="26"/>
        <v>22.05</v>
      </c>
      <c r="L71" s="214">
        <f t="shared" si="26"/>
        <v>4.2</v>
      </c>
      <c r="M71" s="214">
        <v>3.15</v>
      </c>
      <c r="N71" s="214">
        <v>5.6</v>
      </c>
      <c r="O71" s="214">
        <v>6.4749999999999996</v>
      </c>
      <c r="P71" s="214">
        <v>2.625</v>
      </c>
      <c r="Q71" s="214">
        <v>9.1</v>
      </c>
    </row>
    <row r="72" spans="1:17" ht="21.75" customHeight="1">
      <c r="A72" s="230">
        <v>1</v>
      </c>
      <c r="B72" s="231" t="s">
        <v>479</v>
      </c>
      <c r="C72" s="230"/>
      <c r="D72" s="213">
        <v>36.4</v>
      </c>
      <c r="E72" s="214">
        <f t="shared" si="20"/>
        <v>0</v>
      </c>
      <c r="F72" s="214"/>
      <c r="G72" s="214"/>
      <c r="H72" s="214"/>
      <c r="I72" s="214"/>
      <c r="J72" s="214"/>
      <c r="K72" s="214"/>
      <c r="L72" s="214"/>
      <c r="M72" s="214"/>
      <c r="N72" s="214"/>
      <c r="O72" s="214"/>
      <c r="P72" s="214"/>
      <c r="Q72" s="214"/>
    </row>
    <row r="73" spans="1:17" ht="21.75" customHeight="1">
      <c r="A73" s="232" t="s">
        <v>102</v>
      </c>
      <c r="B73" s="233" t="s">
        <v>480</v>
      </c>
      <c r="C73" s="230" t="s">
        <v>384</v>
      </c>
      <c r="D73" s="213">
        <v>26.4</v>
      </c>
      <c r="E73" s="214">
        <f t="shared" si="20"/>
        <v>28.500000000000004</v>
      </c>
      <c r="F73" s="214">
        <f>SUM(G73:Q73)</f>
        <v>28.500000000000004</v>
      </c>
      <c r="G73" s="214">
        <v>6</v>
      </c>
      <c r="H73" s="214">
        <v>3.3</v>
      </c>
      <c r="I73" s="214">
        <v>2</v>
      </c>
      <c r="J73" s="214">
        <v>2</v>
      </c>
      <c r="K73" s="214">
        <v>6.3</v>
      </c>
      <c r="L73" s="214">
        <v>1.2</v>
      </c>
      <c r="M73" s="214">
        <v>0.9</v>
      </c>
      <c r="N73" s="214">
        <v>1.6</v>
      </c>
      <c r="O73" s="214">
        <v>1.85</v>
      </c>
      <c r="P73" s="214">
        <v>0.75</v>
      </c>
      <c r="Q73" s="214">
        <v>2.6</v>
      </c>
    </row>
    <row r="74" spans="1:17" ht="21.75" customHeight="1">
      <c r="A74" s="232"/>
      <c r="B74" s="212" t="s">
        <v>433</v>
      </c>
      <c r="C74" s="230" t="s">
        <v>434</v>
      </c>
      <c r="D74" s="213">
        <v>35</v>
      </c>
      <c r="E74" s="214">
        <f t="shared" si="20"/>
        <v>35</v>
      </c>
      <c r="F74" s="214">
        <v>35</v>
      </c>
      <c r="G74" s="214">
        <v>35</v>
      </c>
      <c r="H74" s="214">
        <v>35</v>
      </c>
      <c r="I74" s="214">
        <v>35</v>
      </c>
      <c r="J74" s="214">
        <v>35</v>
      </c>
      <c r="K74" s="214">
        <v>35</v>
      </c>
      <c r="L74" s="214">
        <v>35</v>
      </c>
      <c r="M74" s="214">
        <v>35</v>
      </c>
      <c r="N74" s="214">
        <v>35</v>
      </c>
      <c r="O74" s="214">
        <v>35</v>
      </c>
      <c r="P74" s="214">
        <v>35</v>
      </c>
      <c r="Q74" s="214">
        <v>35</v>
      </c>
    </row>
    <row r="75" spans="1:17" ht="21.75" customHeight="1">
      <c r="A75" s="232"/>
      <c r="B75" s="212" t="s">
        <v>435</v>
      </c>
      <c r="C75" s="230" t="s">
        <v>429</v>
      </c>
      <c r="D75" s="213">
        <v>92</v>
      </c>
      <c r="E75" s="214">
        <f t="shared" si="20"/>
        <v>99.749999999999986</v>
      </c>
      <c r="F75" s="214">
        <f>SUM(G75:Q75)</f>
        <v>99.749999999999986</v>
      </c>
      <c r="G75" s="214">
        <f>G73*G74/10</f>
        <v>21</v>
      </c>
      <c r="H75" s="214">
        <f>H73*H74/10</f>
        <v>11.55</v>
      </c>
      <c r="I75" s="214">
        <f>I73*I74/10</f>
        <v>7</v>
      </c>
      <c r="J75" s="214">
        <f>J73*J74/10</f>
        <v>7</v>
      </c>
      <c r="K75" s="214">
        <f>K73*K74/10</f>
        <v>22.05</v>
      </c>
      <c r="L75" s="214">
        <f>L74*L73/10</f>
        <v>4.2</v>
      </c>
      <c r="M75" s="214">
        <v>3.15</v>
      </c>
      <c r="N75" s="214">
        <v>5.6</v>
      </c>
      <c r="O75" s="214">
        <v>6.4749999999999996</v>
      </c>
      <c r="P75" s="214">
        <v>2.625</v>
      </c>
      <c r="Q75" s="214">
        <v>9.1</v>
      </c>
    </row>
    <row r="76" spans="1:17" ht="26.25" customHeight="1">
      <c r="A76" s="204" t="s">
        <v>111</v>
      </c>
      <c r="B76" s="204" t="s">
        <v>481</v>
      </c>
      <c r="C76" s="205" t="s">
        <v>384</v>
      </c>
      <c r="D76" s="209">
        <v>300</v>
      </c>
      <c r="E76" s="210">
        <f t="shared" si="20"/>
        <v>300</v>
      </c>
      <c r="F76" s="210">
        <f t="shared" ref="F76:Q76" si="27">F77</f>
        <v>300</v>
      </c>
      <c r="G76" s="210">
        <f t="shared" si="27"/>
        <v>35</v>
      </c>
      <c r="H76" s="210">
        <f t="shared" si="27"/>
        <v>20</v>
      </c>
      <c r="I76" s="210">
        <f t="shared" si="27"/>
        <v>21</v>
      </c>
      <c r="J76" s="210">
        <f t="shared" si="27"/>
        <v>32</v>
      </c>
      <c r="K76" s="210">
        <f t="shared" si="27"/>
        <v>30</v>
      </c>
      <c r="L76" s="210">
        <f t="shared" si="27"/>
        <v>35</v>
      </c>
      <c r="M76" s="210">
        <f t="shared" si="27"/>
        <v>21</v>
      </c>
      <c r="N76" s="210">
        <f t="shared" si="27"/>
        <v>20</v>
      </c>
      <c r="O76" s="210">
        <f t="shared" si="27"/>
        <v>39</v>
      </c>
      <c r="P76" s="210">
        <f t="shared" si="27"/>
        <v>22</v>
      </c>
      <c r="Q76" s="210">
        <f t="shared" si="27"/>
        <v>25</v>
      </c>
    </row>
    <row r="77" spans="1:17" ht="27.75">
      <c r="A77" s="234"/>
      <c r="B77" s="235" t="s">
        <v>482</v>
      </c>
      <c r="C77" s="205" t="s">
        <v>384</v>
      </c>
      <c r="D77" s="213">
        <v>300</v>
      </c>
      <c r="E77" s="214">
        <f t="shared" si="20"/>
        <v>300</v>
      </c>
      <c r="F77" s="214">
        <f>SUM(G77:Q77)</f>
        <v>300</v>
      </c>
      <c r="G77" s="214">
        <v>35</v>
      </c>
      <c r="H77" s="214">
        <v>20</v>
      </c>
      <c r="I77" s="214">
        <v>21</v>
      </c>
      <c r="J77" s="214">
        <v>32</v>
      </c>
      <c r="K77" s="214">
        <v>30</v>
      </c>
      <c r="L77" s="214">
        <v>35</v>
      </c>
      <c r="M77" s="214">
        <v>21</v>
      </c>
      <c r="N77" s="214">
        <v>20</v>
      </c>
      <c r="O77" s="214">
        <v>39</v>
      </c>
      <c r="P77" s="214">
        <v>22</v>
      </c>
      <c r="Q77" s="214">
        <v>25</v>
      </c>
    </row>
  </sheetData>
  <mergeCells count="3">
    <mergeCell ref="P1:Q1"/>
    <mergeCell ref="A2:Q2"/>
    <mergeCell ref="A3:Q3"/>
  </mergeCells>
  <pageMargins left="0.7" right="0.7" top="0.75" bottom="0.75" header="0.3" footer="0.3"/>
  <pageSetup paperSize="9" scale="67"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1"/>
  <sheetViews>
    <sheetView workbookViewId="0">
      <selection activeCell="E1" sqref="E1:F1"/>
    </sheetView>
  </sheetViews>
  <sheetFormatPr defaultColWidth="8" defaultRowHeight="15.4"/>
  <cols>
    <col min="1" max="1" width="3.41796875" style="123" customWidth="1"/>
    <col min="2" max="2" width="38.41796875" style="124" customWidth="1"/>
    <col min="3" max="4" width="9.7890625" style="87" customWidth="1"/>
    <col min="5" max="5" width="9.3125" style="125" customWidth="1"/>
    <col min="6" max="6" width="9" style="87" customWidth="1"/>
    <col min="7" max="7" width="6.41796875" style="87" customWidth="1"/>
    <col min="8" max="8" width="15.41796875" style="88" customWidth="1"/>
    <col min="9" max="11" width="8" style="88"/>
    <col min="12" max="12" width="18.41796875" style="88" customWidth="1"/>
    <col min="13" max="16384" width="8" style="88"/>
  </cols>
  <sheetData>
    <row r="1" spans="1:9" ht="20.25" customHeight="1">
      <c r="A1" s="634"/>
      <c r="B1" s="634"/>
      <c r="E1" s="639" t="s">
        <v>483</v>
      </c>
      <c r="F1" s="639"/>
    </row>
    <row r="2" spans="1:9" ht="25.5" customHeight="1">
      <c r="A2" s="635" t="s">
        <v>484</v>
      </c>
      <c r="B2" s="635"/>
      <c r="C2" s="635"/>
      <c r="D2" s="635"/>
      <c r="E2" s="635"/>
      <c r="F2" s="635"/>
      <c r="G2" s="89"/>
    </row>
    <row r="3" spans="1:9" ht="33.75" customHeight="1">
      <c r="A3" s="636" t="str">
        <f>'chỉ tieeuNN-TS'!A3:Q3</f>
        <v>(Kèm theo Quyết định số          /QĐ-UBND ngày         /12/2021 của UBND huyện Tu Mơ Rông)</v>
      </c>
      <c r="B3" s="636"/>
      <c r="C3" s="636"/>
      <c r="D3" s="636"/>
      <c r="E3" s="636"/>
      <c r="F3" s="636"/>
      <c r="G3" s="89"/>
    </row>
    <row r="4" spans="1:9" s="95" customFormat="1" ht="37.15" customHeight="1">
      <c r="A4" s="90" t="s">
        <v>68</v>
      </c>
      <c r="B4" s="91" t="s">
        <v>376</v>
      </c>
      <c r="C4" s="92" t="s">
        <v>377</v>
      </c>
      <c r="D4" s="92" t="s">
        <v>378</v>
      </c>
      <c r="E4" s="93" t="s">
        <v>379</v>
      </c>
      <c r="F4" s="92" t="s">
        <v>14</v>
      </c>
      <c r="G4" s="94"/>
    </row>
    <row r="5" spans="1:9" s="96" customFormat="1" ht="15">
      <c r="A5" s="236">
        <v>1</v>
      </c>
      <c r="B5" s="237" t="s">
        <v>485</v>
      </c>
      <c r="C5" s="238"/>
      <c r="D5" s="238"/>
      <c r="E5" s="239"/>
      <c r="F5" s="92"/>
      <c r="G5" s="94"/>
    </row>
    <row r="6" spans="1:9" s="98" customFormat="1">
      <c r="A6" s="240" t="s">
        <v>102</v>
      </c>
      <c r="B6" s="241" t="s">
        <v>486</v>
      </c>
      <c r="C6" s="242" t="s">
        <v>487</v>
      </c>
      <c r="D6" s="197">
        <v>29070</v>
      </c>
      <c r="E6" s="197">
        <v>29070</v>
      </c>
      <c r="F6" s="243"/>
      <c r="G6" s="97"/>
    </row>
    <row r="7" spans="1:9" s="98" customFormat="1">
      <c r="A7" s="240" t="s">
        <v>102</v>
      </c>
      <c r="B7" s="241" t="s">
        <v>488</v>
      </c>
      <c r="C7" s="244" t="s">
        <v>400</v>
      </c>
      <c r="D7" s="197">
        <v>29610</v>
      </c>
      <c r="E7" s="197">
        <v>29610</v>
      </c>
      <c r="F7" s="243"/>
      <c r="G7" s="97"/>
    </row>
    <row r="8" spans="1:9" s="98" customFormat="1">
      <c r="A8" s="240" t="s">
        <v>102</v>
      </c>
      <c r="B8" s="241" t="s">
        <v>489</v>
      </c>
      <c r="C8" s="244" t="s">
        <v>400</v>
      </c>
      <c r="D8" s="197">
        <v>29340</v>
      </c>
      <c r="E8" s="197">
        <v>29340</v>
      </c>
      <c r="F8" s="243"/>
      <c r="G8" s="97"/>
    </row>
    <row r="9" spans="1:9" s="158" customFormat="1" ht="15">
      <c r="A9" s="236">
        <v>2</v>
      </c>
      <c r="B9" s="237" t="s">
        <v>490</v>
      </c>
      <c r="C9" s="245" t="s">
        <v>429</v>
      </c>
      <c r="D9" s="246">
        <v>6008.5</v>
      </c>
      <c r="E9" s="246">
        <v>6025.3</v>
      </c>
      <c r="F9" s="92"/>
      <c r="G9" s="157"/>
    </row>
    <row r="10" spans="1:9" s="98" customFormat="1">
      <c r="A10" s="247" t="s">
        <v>102</v>
      </c>
      <c r="B10" s="241" t="s">
        <v>491</v>
      </c>
      <c r="C10" s="244" t="s">
        <v>492</v>
      </c>
      <c r="D10" s="197">
        <v>205</v>
      </c>
      <c r="E10" s="248">
        <v>205.36</v>
      </c>
      <c r="F10" s="243"/>
      <c r="G10" s="97"/>
    </row>
    <row r="11" spans="1:9" s="98" customFormat="1" ht="15">
      <c r="A11" s="236">
        <v>3</v>
      </c>
      <c r="B11" s="249" t="s">
        <v>493</v>
      </c>
      <c r="C11" s="250"/>
      <c r="D11" s="251"/>
      <c r="E11" s="252"/>
      <c r="F11" s="243"/>
      <c r="G11" s="97"/>
    </row>
    <row r="12" spans="1:9" s="99" customFormat="1" ht="30.75">
      <c r="A12" s="253" t="s">
        <v>102</v>
      </c>
      <c r="B12" s="195" t="s">
        <v>494</v>
      </c>
      <c r="C12" s="196" t="s">
        <v>487</v>
      </c>
      <c r="D12" s="193"/>
      <c r="E12" s="193">
        <v>300</v>
      </c>
      <c r="F12" s="243"/>
      <c r="G12" s="97"/>
      <c r="I12" s="98"/>
    </row>
    <row r="13" spans="1:9" s="99" customFormat="1">
      <c r="A13" s="253" t="s">
        <v>102</v>
      </c>
      <c r="B13" s="198" t="s">
        <v>495</v>
      </c>
      <c r="C13" s="196" t="s">
        <v>409</v>
      </c>
      <c r="D13" s="193"/>
      <c r="E13" s="193">
        <v>32.03</v>
      </c>
      <c r="F13" s="243"/>
      <c r="G13" s="97"/>
      <c r="I13" s="98"/>
    </row>
    <row r="14" spans="1:9" s="99" customFormat="1">
      <c r="A14" s="254"/>
      <c r="B14" s="255" t="s">
        <v>496</v>
      </c>
      <c r="C14" s="256" t="s">
        <v>409</v>
      </c>
      <c r="D14" s="193"/>
      <c r="E14" s="193">
        <v>13.62</v>
      </c>
      <c r="F14" s="243"/>
      <c r="G14" s="97"/>
      <c r="I14" s="98"/>
    </row>
    <row r="15" spans="1:9" s="99" customFormat="1">
      <c r="A15" s="253" t="s">
        <v>102</v>
      </c>
      <c r="B15" s="198" t="s">
        <v>497</v>
      </c>
      <c r="C15" s="196" t="s">
        <v>487</v>
      </c>
      <c r="D15" s="193"/>
      <c r="E15" s="193">
        <v>385</v>
      </c>
      <c r="F15" s="243"/>
      <c r="G15" s="97"/>
      <c r="I15" s="98"/>
    </row>
    <row r="16" spans="1:9" s="99" customFormat="1" ht="15">
      <c r="A16" s="257">
        <v>4</v>
      </c>
      <c r="B16" s="258" t="s">
        <v>498</v>
      </c>
      <c r="C16" s="257"/>
      <c r="D16" s="259"/>
      <c r="E16" s="259"/>
      <c r="F16" s="243"/>
      <c r="G16" s="97"/>
      <c r="I16" s="98"/>
    </row>
    <row r="17" spans="1:9" s="95" customFormat="1">
      <c r="A17" s="260" t="s">
        <v>102</v>
      </c>
      <c r="B17" s="261" t="s">
        <v>499</v>
      </c>
      <c r="C17" s="192" t="s">
        <v>500</v>
      </c>
      <c r="D17" s="197"/>
      <c r="E17" s="197">
        <v>3546</v>
      </c>
      <c r="F17" s="243"/>
      <c r="G17" s="100"/>
      <c r="I17" s="101"/>
    </row>
    <row r="18" spans="1:9" s="99" customFormat="1">
      <c r="A18" s="260" t="s">
        <v>102</v>
      </c>
      <c r="B18" s="261" t="s">
        <v>501</v>
      </c>
      <c r="C18" s="192" t="s">
        <v>409</v>
      </c>
      <c r="D18" s="193"/>
      <c r="E18" s="193">
        <v>52.11</v>
      </c>
      <c r="F18" s="243"/>
      <c r="G18" s="97"/>
      <c r="I18" s="98"/>
    </row>
    <row r="19" spans="1:9" s="95" customFormat="1">
      <c r="A19" s="260" t="s">
        <v>102</v>
      </c>
      <c r="B19" s="191" t="s">
        <v>502</v>
      </c>
      <c r="C19" s="192" t="s">
        <v>500</v>
      </c>
      <c r="D19" s="197"/>
      <c r="E19" s="197">
        <v>550</v>
      </c>
      <c r="F19" s="243"/>
      <c r="G19" s="100"/>
      <c r="I19" s="101"/>
    </row>
    <row r="20" spans="1:9" s="102" customFormat="1">
      <c r="A20" s="260" t="s">
        <v>102</v>
      </c>
      <c r="B20" s="191" t="s">
        <v>503</v>
      </c>
      <c r="C20" s="192" t="s">
        <v>409</v>
      </c>
      <c r="D20" s="193"/>
      <c r="E20" s="193">
        <v>8.08</v>
      </c>
      <c r="F20" s="262"/>
      <c r="G20" s="97"/>
      <c r="I20" s="98"/>
    </row>
    <row r="21" spans="1:9" s="102" customFormat="1" ht="30.75">
      <c r="A21" s="260" t="s">
        <v>102</v>
      </c>
      <c r="B21" s="191" t="s">
        <v>411</v>
      </c>
      <c r="C21" s="192" t="s">
        <v>409</v>
      </c>
      <c r="D21" s="193"/>
      <c r="E21" s="194" t="s">
        <v>412</v>
      </c>
      <c r="F21" s="262"/>
      <c r="G21" s="97"/>
      <c r="I21" s="98"/>
    </row>
    <row r="22" spans="1:9" s="102" customFormat="1" ht="15">
      <c r="A22" s="257">
        <v>5</v>
      </c>
      <c r="B22" s="258" t="s">
        <v>22</v>
      </c>
      <c r="C22" s="263"/>
      <c r="D22" s="264"/>
      <c r="E22" s="265"/>
      <c r="F22" s="262"/>
      <c r="G22" s="97"/>
      <c r="I22" s="98"/>
    </row>
    <row r="23" spans="1:9" s="102" customFormat="1">
      <c r="A23" s="253" t="s">
        <v>309</v>
      </c>
      <c r="B23" s="195" t="s">
        <v>504</v>
      </c>
      <c r="C23" s="196" t="s">
        <v>505</v>
      </c>
      <c r="D23" s="197">
        <f>SUM(D25:D30)</f>
        <v>8240</v>
      </c>
      <c r="E23" s="197">
        <f>SUM(E25:E30)</f>
        <v>8240</v>
      </c>
      <c r="F23" s="262"/>
      <c r="G23" s="97"/>
      <c r="I23" s="98"/>
    </row>
    <row r="24" spans="1:9" s="102" customFormat="1">
      <c r="A24" s="253" t="s">
        <v>253</v>
      </c>
      <c r="B24" s="195" t="s">
        <v>506</v>
      </c>
      <c r="C24" s="196"/>
      <c r="D24" s="197"/>
      <c r="E24" s="197"/>
      <c r="F24" s="262"/>
      <c r="G24" s="97"/>
      <c r="I24" s="98"/>
    </row>
    <row r="25" spans="1:9" s="95" customFormat="1">
      <c r="A25" s="253" t="s">
        <v>461</v>
      </c>
      <c r="B25" s="198" t="s">
        <v>507</v>
      </c>
      <c r="C25" s="196" t="s">
        <v>400</v>
      </c>
      <c r="D25" s="197">
        <v>150</v>
      </c>
      <c r="E25" s="197">
        <v>150</v>
      </c>
      <c r="F25" s="243"/>
      <c r="G25" s="100"/>
      <c r="I25" s="101"/>
    </row>
    <row r="26" spans="1:9" s="95" customFormat="1">
      <c r="A26" s="253" t="s">
        <v>461</v>
      </c>
      <c r="B26" s="198" t="s">
        <v>508</v>
      </c>
      <c r="C26" s="196" t="s">
        <v>400</v>
      </c>
      <c r="D26" s="197">
        <v>2320</v>
      </c>
      <c r="E26" s="197">
        <v>2320</v>
      </c>
      <c r="F26" s="243"/>
      <c r="G26" s="100"/>
      <c r="I26" s="101"/>
    </row>
    <row r="27" spans="1:9" s="95" customFormat="1">
      <c r="A27" s="253" t="s">
        <v>255</v>
      </c>
      <c r="B27" s="195" t="s">
        <v>509</v>
      </c>
      <c r="C27" s="196"/>
      <c r="D27" s="197"/>
      <c r="E27" s="197"/>
      <c r="F27" s="243"/>
      <c r="G27" s="100"/>
      <c r="I27" s="101"/>
    </row>
    <row r="28" spans="1:9" s="99" customFormat="1">
      <c r="A28" s="253" t="s">
        <v>461</v>
      </c>
      <c r="B28" s="198" t="s">
        <v>510</v>
      </c>
      <c r="C28" s="196" t="s">
        <v>400</v>
      </c>
      <c r="D28" s="197">
        <v>3370</v>
      </c>
      <c r="E28" s="197">
        <v>3370</v>
      </c>
      <c r="F28" s="243"/>
      <c r="G28" s="97"/>
      <c r="I28" s="637"/>
    </row>
    <row r="29" spans="1:9" s="99" customFormat="1">
      <c r="A29" s="253" t="s">
        <v>461</v>
      </c>
      <c r="B29" s="198" t="s">
        <v>511</v>
      </c>
      <c r="C29" s="196" t="s">
        <v>400</v>
      </c>
      <c r="D29" s="197">
        <v>2350</v>
      </c>
      <c r="E29" s="197">
        <v>2350</v>
      </c>
      <c r="F29" s="243"/>
      <c r="G29" s="97"/>
      <c r="I29" s="637"/>
    </row>
    <row r="30" spans="1:9" s="99" customFormat="1">
      <c r="A30" s="266" t="s">
        <v>461</v>
      </c>
      <c r="B30" s="198" t="s">
        <v>512</v>
      </c>
      <c r="C30" s="196" t="s">
        <v>400</v>
      </c>
      <c r="D30" s="197">
        <v>50</v>
      </c>
      <c r="E30" s="197">
        <v>50</v>
      </c>
      <c r="F30" s="243"/>
      <c r="G30" s="97"/>
      <c r="I30" s="637"/>
    </row>
    <row r="31" spans="1:9" s="99" customFormat="1">
      <c r="A31" s="266" t="s">
        <v>310</v>
      </c>
      <c r="B31" s="195" t="s">
        <v>513</v>
      </c>
      <c r="C31" s="196"/>
      <c r="D31" s="197">
        <f>SUM(D33:D40)</f>
        <v>8685</v>
      </c>
      <c r="E31" s="197">
        <f>SUM(E33:E40)</f>
        <v>8685</v>
      </c>
      <c r="F31" s="243"/>
      <c r="G31" s="97"/>
      <c r="I31" s="97"/>
    </row>
    <row r="32" spans="1:9" s="99" customFormat="1">
      <c r="A32" s="253" t="s">
        <v>253</v>
      </c>
      <c r="B32" s="195" t="s">
        <v>506</v>
      </c>
      <c r="C32" s="196"/>
      <c r="D32" s="197"/>
      <c r="E32" s="197"/>
      <c r="F32" s="243"/>
      <c r="G32" s="97"/>
      <c r="I32" s="97"/>
    </row>
    <row r="33" spans="1:9" s="99" customFormat="1">
      <c r="A33" s="253" t="s">
        <v>461</v>
      </c>
      <c r="B33" s="198" t="s">
        <v>507</v>
      </c>
      <c r="C33" s="196" t="s">
        <v>400</v>
      </c>
      <c r="D33" s="197">
        <v>150</v>
      </c>
      <c r="E33" s="197">
        <v>150</v>
      </c>
      <c r="F33" s="243"/>
      <c r="G33" s="97"/>
      <c r="I33" s="97"/>
    </row>
    <row r="34" spans="1:9" s="99" customFormat="1">
      <c r="A34" s="253" t="s">
        <v>461</v>
      </c>
      <c r="B34" s="198" t="s">
        <v>508</v>
      </c>
      <c r="C34" s="196" t="s">
        <v>400</v>
      </c>
      <c r="D34" s="197">
        <v>2320</v>
      </c>
      <c r="E34" s="197">
        <v>2320</v>
      </c>
      <c r="F34" s="243"/>
      <c r="G34" s="97"/>
      <c r="I34" s="97"/>
    </row>
    <row r="35" spans="1:9" s="99" customFormat="1">
      <c r="A35" s="253" t="s">
        <v>255</v>
      </c>
      <c r="B35" s="195" t="s">
        <v>509</v>
      </c>
      <c r="C35" s="196"/>
      <c r="D35" s="197"/>
      <c r="E35" s="197"/>
      <c r="F35" s="243"/>
      <c r="G35" s="97"/>
      <c r="I35" s="97"/>
    </row>
    <row r="36" spans="1:9" s="99" customFormat="1">
      <c r="A36" s="253" t="s">
        <v>461</v>
      </c>
      <c r="B36" s="198" t="s">
        <v>510</v>
      </c>
      <c r="C36" s="196" t="s">
        <v>400</v>
      </c>
      <c r="D36" s="197">
        <v>3370</v>
      </c>
      <c r="E36" s="197">
        <v>3370</v>
      </c>
      <c r="F36" s="243"/>
      <c r="G36" s="97"/>
      <c r="I36" s="97"/>
    </row>
    <row r="37" spans="1:9" s="99" customFormat="1">
      <c r="A37" s="253" t="s">
        <v>461</v>
      </c>
      <c r="B37" s="198" t="s">
        <v>511</v>
      </c>
      <c r="C37" s="196" t="s">
        <v>400</v>
      </c>
      <c r="D37" s="197">
        <f>2350+35</f>
        <v>2385</v>
      </c>
      <c r="E37" s="197">
        <f>2350+35</f>
        <v>2385</v>
      </c>
      <c r="F37" s="243"/>
      <c r="G37" s="97"/>
      <c r="I37" s="97"/>
    </row>
    <row r="38" spans="1:9" s="99" customFormat="1">
      <c r="A38" s="253" t="s">
        <v>461</v>
      </c>
      <c r="B38" s="198" t="s">
        <v>514</v>
      </c>
      <c r="C38" s="196" t="s">
        <v>400</v>
      </c>
      <c r="D38" s="197">
        <v>410</v>
      </c>
      <c r="E38" s="197">
        <v>410</v>
      </c>
      <c r="F38" s="243"/>
      <c r="G38" s="97"/>
      <c r="I38" s="97"/>
    </row>
    <row r="39" spans="1:9" s="99" customFormat="1">
      <c r="A39" s="253" t="s">
        <v>515</v>
      </c>
      <c r="B39" s="195" t="s">
        <v>516</v>
      </c>
      <c r="C39" s="196"/>
      <c r="D39" s="197"/>
      <c r="E39" s="197"/>
      <c r="F39" s="243"/>
      <c r="G39" s="97"/>
      <c r="I39" s="97"/>
    </row>
    <row r="40" spans="1:9" s="99" customFormat="1">
      <c r="A40" s="266" t="s">
        <v>461</v>
      </c>
      <c r="B40" s="198" t="s">
        <v>514</v>
      </c>
      <c r="C40" s="196" t="s">
        <v>400</v>
      </c>
      <c r="D40" s="197">
        <v>50</v>
      </c>
      <c r="E40" s="197">
        <v>50</v>
      </c>
      <c r="F40" s="243"/>
      <c r="G40" s="97"/>
      <c r="I40" s="97"/>
    </row>
    <row r="41" spans="1:9" s="99" customFormat="1">
      <c r="A41" s="240" t="s">
        <v>102</v>
      </c>
      <c r="B41" s="195" t="s">
        <v>517</v>
      </c>
      <c r="C41" s="196" t="s">
        <v>518</v>
      </c>
      <c r="D41" s="197"/>
      <c r="E41" s="197">
        <v>4</v>
      </c>
      <c r="F41" s="243"/>
      <c r="G41" s="97"/>
      <c r="I41" s="97"/>
    </row>
    <row r="42" spans="1:9" s="103" customFormat="1" ht="15">
      <c r="A42" s="267">
        <v>6</v>
      </c>
      <c r="B42" s="199" t="s">
        <v>519</v>
      </c>
      <c r="C42" s="268"/>
      <c r="D42" s="269"/>
      <c r="E42" s="270"/>
      <c r="F42" s="92"/>
      <c r="G42" s="100"/>
      <c r="I42" s="101"/>
    </row>
    <row r="43" spans="1:9" s="104" customFormat="1">
      <c r="A43" s="267" t="s">
        <v>102</v>
      </c>
      <c r="B43" s="195" t="s">
        <v>413</v>
      </c>
      <c r="C43" s="196" t="s">
        <v>409</v>
      </c>
      <c r="D43" s="193">
        <v>99.97</v>
      </c>
      <c r="E43" s="197">
        <v>100</v>
      </c>
      <c r="F43" s="271"/>
      <c r="G43" s="100"/>
      <c r="I43" s="101"/>
    </row>
    <row r="44" spans="1:9" s="104" customFormat="1">
      <c r="A44" s="267" t="s">
        <v>102</v>
      </c>
      <c r="B44" s="195" t="s">
        <v>520</v>
      </c>
      <c r="C44" s="196" t="s">
        <v>409</v>
      </c>
      <c r="D44" s="193">
        <v>15.3</v>
      </c>
      <c r="E44" s="193">
        <v>15.3</v>
      </c>
      <c r="F44" s="271"/>
      <c r="G44" s="100"/>
      <c r="I44" s="101"/>
    </row>
    <row r="45" spans="1:9" s="104" customFormat="1" ht="30.75">
      <c r="A45" s="267"/>
      <c r="B45" s="272" t="s">
        <v>521</v>
      </c>
      <c r="C45" s="196" t="s">
        <v>409</v>
      </c>
      <c r="D45" s="193">
        <v>3.99</v>
      </c>
      <c r="E45" s="193">
        <v>3.99</v>
      </c>
      <c r="F45" s="271"/>
      <c r="G45" s="100"/>
      <c r="I45" s="101"/>
    </row>
    <row r="46" spans="1:9" s="104" customFormat="1">
      <c r="A46" s="267" t="s">
        <v>102</v>
      </c>
      <c r="B46" s="195" t="s">
        <v>522</v>
      </c>
      <c r="C46" s="196" t="s">
        <v>409</v>
      </c>
      <c r="D46" s="193">
        <v>8.2100000000000009</v>
      </c>
      <c r="E46" s="193">
        <f>D46</f>
        <v>8.2100000000000009</v>
      </c>
      <c r="F46" s="271"/>
      <c r="G46" s="100"/>
      <c r="I46" s="101"/>
    </row>
    <row r="47" spans="1:9" s="104" customFormat="1">
      <c r="A47" s="267" t="s">
        <v>102</v>
      </c>
      <c r="B47" s="273" t="s">
        <v>523</v>
      </c>
      <c r="C47" s="274" t="s">
        <v>524</v>
      </c>
      <c r="D47" s="193">
        <f>D48+D49+D50</f>
        <v>165</v>
      </c>
      <c r="E47" s="193">
        <v>165</v>
      </c>
      <c r="F47" s="271"/>
      <c r="G47" s="100"/>
      <c r="I47" s="101"/>
    </row>
    <row r="48" spans="1:9" s="104" customFormat="1">
      <c r="A48" s="267" t="s">
        <v>461</v>
      </c>
      <c r="B48" s="198" t="s">
        <v>525</v>
      </c>
      <c r="C48" s="196" t="s">
        <v>400</v>
      </c>
      <c r="D48" s="193">
        <v>100</v>
      </c>
      <c r="E48" s="193">
        <v>100</v>
      </c>
      <c r="F48" s="271"/>
      <c r="G48" s="100"/>
      <c r="I48" s="101"/>
    </row>
    <row r="49" spans="1:9" s="104" customFormat="1">
      <c r="A49" s="267" t="s">
        <v>461</v>
      </c>
      <c r="B49" s="198" t="s">
        <v>526</v>
      </c>
      <c r="C49" s="196" t="s">
        <v>400</v>
      </c>
      <c r="D49" s="193">
        <v>15</v>
      </c>
      <c r="E49" s="193">
        <v>15</v>
      </c>
      <c r="F49" s="271"/>
      <c r="G49" s="100"/>
      <c r="I49" s="101"/>
    </row>
    <row r="50" spans="1:9" s="104" customFormat="1">
      <c r="A50" s="267" t="s">
        <v>461</v>
      </c>
      <c r="B50" s="198" t="s">
        <v>527</v>
      </c>
      <c r="C50" s="196" t="s">
        <v>400</v>
      </c>
      <c r="D50" s="193">
        <v>50</v>
      </c>
      <c r="E50" s="193">
        <v>50</v>
      </c>
      <c r="F50" s="271"/>
      <c r="G50" s="100"/>
      <c r="I50" s="101"/>
    </row>
    <row r="51" spans="1:9" s="104" customFormat="1">
      <c r="A51" s="267" t="s">
        <v>102</v>
      </c>
      <c r="B51" s="273" t="s">
        <v>528</v>
      </c>
      <c r="C51" s="274" t="s">
        <v>529</v>
      </c>
      <c r="D51" s="193"/>
      <c r="E51" s="193">
        <v>10.69</v>
      </c>
      <c r="F51" s="271"/>
      <c r="G51" s="100"/>
      <c r="I51" s="101"/>
    </row>
    <row r="52" spans="1:9" s="106" customFormat="1">
      <c r="A52" s="267" t="s">
        <v>102</v>
      </c>
      <c r="B52" s="273" t="s">
        <v>530</v>
      </c>
      <c r="C52" s="274" t="s">
        <v>409</v>
      </c>
      <c r="D52" s="193"/>
      <c r="E52" s="193">
        <v>100</v>
      </c>
      <c r="F52" s="243"/>
      <c r="G52" s="105"/>
    </row>
    <row r="53" spans="1:9" s="106" customFormat="1">
      <c r="A53" s="267" t="s">
        <v>102</v>
      </c>
      <c r="B53" s="273" t="s">
        <v>531</v>
      </c>
      <c r="C53" s="274" t="s">
        <v>409</v>
      </c>
      <c r="D53" s="193"/>
      <c r="E53" s="193">
        <v>100</v>
      </c>
      <c r="F53" s="243"/>
      <c r="G53" s="105"/>
    </row>
    <row r="54" spans="1:9" s="95" customFormat="1">
      <c r="A54" s="267" t="s">
        <v>102</v>
      </c>
      <c r="B54" s="275" t="s">
        <v>532</v>
      </c>
      <c r="C54" s="274" t="s">
        <v>409</v>
      </c>
      <c r="D54" s="193"/>
      <c r="E54" s="193" t="s">
        <v>533</v>
      </c>
      <c r="F54" s="92"/>
      <c r="G54" s="94"/>
      <c r="I54" s="101"/>
    </row>
    <row r="55" spans="1:9" s="95" customFormat="1">
      <c r="A55" s="267" t="s">
        <v>102</v>
      </c>
      <c r="B55" s="275" t="s">
        <v>534</v>
      </c>
      <c r="C55" s="274" t="s">
        <v>409</v>
      </c>
      <c r="D55" s="193"/>
      <c r="E55" s="193" t="s">
        <v>535</v>
      </c>
      <c r="F55" s="92"/>
      <c r="G55" s="94"/>
      <c r="I55" s="101"/>
    </row>
    <row r="56" spans="1:9" s="107" customFormat="1" ht="15">
      <c r="A56" s="236">
        <v>7</v>
      </c>
      <c r="B56" s="199" t="s">
        <v>536</v>
      </c>
      <c r="C56" s="268"/>
      <c r="D56" s="276"/>
      <c r="E56" s="276"/>
      <c r="F56" s="243"/>
      <c r="G56" s="105"/>
      <c r="I56" s="106"/>
    </row>
    <row r="57" spans="1:9" s="95" customFormat="1">
      <c r="A57" s="253" t="s">
        <v>102</v>
      </c>
      <c r="B57" s="198" t="s">
        <v>537</v>
      </c>
      <c r="C57" s="196" t="s">
        <v>409</v>
      </c>
      <c r="D57" s="193"/>
      <c r="E57" s="193">
        <v>100</v>
      </c>
      <c r="F57" s="277"/>
      <c r="G57" s="100"/>
      <c r="I57" s="101"/>
    </row>
    <row r="58" spans="1:9" s="95" customFormat="1">
      <c r="A58" s="253" t="s">
        <v>102</v>
      </c>
      <c r="B58" s="198" t="s">
        <v>538</v>
      </c>
      <c r="C58" s="196" t="s">
        <v>409</v>
      </c>
      <c r="D58" s="193"/>
      <c r="E58" s="193">
        <v>81</v>
      </c>
      <c r="F58" s="243"/>
      <c r="G58" s="100"/>
      <c r="I58" s="101"/>
    </row>
    <row r="59" spans="1:9" s="95" customFormat="1">
      <c r="A59" s="236">
        <v>8</v>
      </c>
      <c r="B59" s="199" t="s">
        <v>539</v>
      </c>
      <c r="C59" s="196" t="s">
        <v>409</v>
      </c>
      <c r="D59" s="193"/>
      <c r="E59" s="193">
        <v>98</v>
      </c>
      <c r="F59" s="243"/>
      <c r="G59" s="100"/>
      <c r="I59" s="101"/>
    </row>
    <row r="60" spans="1:9" s="95" customFormat="1">
      <c r="A60" s="236">
        <v>9</v>
      </c>
      <c r="B60" s="199" t="s">
        <v>540</v>
      </c>
      <c r="C60" s="196" t="s">
        <v>409</v>
      </c>
      <c r="D60" s="193"/>
      <c r="E60" s="193">
        <v>100</v>
      </c>
      <c r="F60" s="243"/>
      <c r="G60" s="100"/>
      <c r="I60" s="101"/>
    </row>
    <row r="61" spans="1:9" s="95" customFormat="1" ht="15">
      <c r="A61" s="236">
        <v>10</v>
      </c>
      <c r="B61" s="199" t="s">
        <v>541</v>
      </c>
      <c r="C61" s="268"/>
      <c r="D61" s="278"/>
      <c r="E61" s="278"/>
      <c r="F61" s="243"/>
      <c r="G61" s="100"/>
      <c r="I61" s="101"/>
    </row>
    <row r="62" spans="1:9" s="95" customFormat="1">
      <c r="A62" s="279" t="s">
        <v>542</v>
      </c>
      <c r="B62" s="198" t="s">
        <v>414</v>
      </c>
      <c r="C62" s="196" t="s">
        <v>415</v>
      </c>
      <c r="D62" s="193">
        <v>11</v>
      </c>
      <c r="E62" s="193">
        <v>11</v>
      </c>
      <c r="F62" s="243"/>
      <c r="G62" s="100"/>
    </row>
    <row r="63" spans="1:9" s="95" customFormat="1" ht="15">
      <c r="A63" s="236">
        <v>11</v>
      </c>
      <c r="B63" s="199" t="s">
        <v>543</v>
      </c>
      <c r="C63" s="268"/>
      <c r="D63" s="280"/>
      <c r="E63" s="280"/>
      <c r="F63" s="243"/>
      <c r="G63" s="100"/>
    </row>
    <row r="64" spans="1:9" s="107" customFormat="1" ht="30.75">
      <c r="A64" s="281" t="s">
        <v>102</v>
      </c>
      <c r="B64" s="282" t="s">
        <v>544</v>
      </c>
      <c r="C64" s="283" t="s">
        <v>409</v>
      </c>
      <c r="D64" s="193"/>
      <c r="E64" s="193">
        <v>81</v>
      </c>
      <c r="F64" s="284"/>
      <c r="G64" s="105"/>
    </row>
    <row r="65" spans="1:7" s="107" customFormat="1">
      <c r="A65" s="285">
        <v>12</v>
      </c>
      <c r="B65" s="199" t="s">
        <v>416</v>
      </c>
      <c r="C65" s="200"/>
      <c r="D65" s="201"/>
      <c r="E65" s="201"/>
      <c r="F65" s="284"/>
      <c r="G65" s="105"/>
    </row>
    <row r="66" spans="1:7" s="107" customFormat="1" ht="30.75">
      <c r="A66" s="200" t="s">
        <v>102</v>
      </c>
      <c r="B66" s="4" t="s">
        <v>417</v>
      </c>
      <c r="C66" s="200" t="s">
        <v>409</v>
      </c>
      <c r="D66" s="193"/>
      <c r="E66" s="193">
        <v>90</v>
      </c>
      <c r="F66" s="284"/>
      <c r="G66" s="105"/>
    </row>
    <row r="67" spans="1:7" s="109" customFormat="1">
      <c r="A67" s="200" t="s">
        <v>102</v>
      </c>
      <c r="B67" s="4" t="s">
        <v>418</v>
      </c>
      <c r="C67" s="200" t="s">
        <v>409</v>
      </c>
      <c r="D67" s="193"/>
      <c r="E67" s="193">
        <v>100</v>
      </c>
      <c r="F67" s="286"/>
      <c r="G67" s="108"/>
    </row>
    <row r="68" spans="1:7" s="110" customFormat="1" ht="30.75">
      <c r="A68" s="200" t="s">
        <v>102</v>
      </c>
      <c r="B68" s="4" t="s">
        <v>545</v>
      </c>
      <c r="C68" s="200" t="s">
        <v>409</v>
      </c>
      <c r="D68" s="193"/>
      <c r="E68" s="193">
        <v>82</v>
      </c>
      <c r="F68" s="287"/>
      <c r="G68" s="105"/>
    </row>
    <row r="69" spans="1:7" s="113" customFormat="1" ht="48.75" customHeight="1">
      <c r="A69" s="111"/>
      <c r="B69" s="638"/>
      <c r="C69" s="638"/>
      <c r="D69" s="638"/>
      <c r="E69" s="638"/>
      <c r="F69" s="638"/>
      <c r="G69" s="112"/>
    </row>
    <row r="70" spans="1:7" s="118" customFormat="1">
      <c r="A70" s="114"/>
      <c r="B70" s="115"/>
      <c r="C70" s="116"/>
      <c r="D70" s="116"/>
      <c r="E70" s="117"/>
      <c r="F70" s="116"/>
      <c r="G70" s="116"/>
    </row>
    <row r="71" spans="1:7" s="118" customFormat="1">
      <c r="A71" s="114"/>
      <c r="B71" s="115"/>
      <c r="C71" s="116"/>
      <c r="D71" s="116"/>
      <c r="E71" s="117"/>
      <c r="F71" s="116"/>
      <c r="G71" s="116"/>
    </row>
    <row r="72" spans="1:7" s="118" customFormat="1">
      <c r="A72" s="114"/>
      <c r="B72" s="115"/>
      <c r="C72" s="116"/>
      <c r="D72" s="116"/>
      <c r="E72" s="117"/>
      <c r="F72" s="116"/>
      <c r="G72" s="116"/>
    </row>
    <row r="73" spans="1:7" s="118" customFormat="1">
      <c r="A73" s="114"/>
      <c r="B73" s="115"/>
      <c r="C73" s="116"/>
      <c r="D73" s="116"/>
      <c r="E73" s="117"/>
      <c r="F73" s="116"/>
      <c r="G73" s="116"/>
    </row>
    <row r="74" spans="1:7" s="118" customFormat="1">
      <c r="A74" s="114"/>
      <c r="B74" s="115"/>
      <c r="C74" s="116"/>
      <c r="D74" s="116"/>
      <c r="E74" s="117"/>
      <c r="F74" s="116"/>
      <c r="G74" s="116"/>
    </row>
    <row r="75" spans="1:7" s="118" customFormat="1">
      <c r="A75" s="114"/>
      <c r="B75" s="115"/>
      <c r="C75" s="116"/>
      <c r="D75" s="116"/>
      <c r="E75" s="117"/>
      <c r="F75" s="116"/>
      <c r="G75" s="116"/>
    </row>
    <row r="76" spans="1:7" s="118" customFormat="1">
      <c r="A76" s="114"/>
      <c r="B76" s="115"/>
      <c r="C76" s="116"/>
      <c r="D76" s="116"/>
      <c r="E76" s="117"/>
      <c r="F76" s="116"/>
      <c r="G76" s="116"/>
    </row>
    <row r="77" spans="1:7" s="118" customFormat="1">
      <c r="A77" s="114"/>
      <c r="B77" s="115"/>
      <c r="C77" s="116"/>
      <c r="D77" s="116"/>
      <c r="E77" s="117"/>
      <c r="F77" s="116"/>
      <c r="G77" s="116"/>
    </row>
    <row r="78" spans="1:7" s="118" customFormat="1">
      <c r="A78" s="114"/>
      <c r="B78" s="115"/>
      <c r="C78" s="116"/>
      <c r="D78" s="116"/>
      <c r="E78" s="117"/>
      <c r="F78" s="116"/>
      <c r="G78" s="116"/>
    </row>
    <row r="79" spans="1:7" s="118" customFormat="1">
      <c r="A79" s="114"/>
      <c r="B79" s="115"/>
      <c r="C79" s="116"/>
      <c r="D79" s="116"/>
      <c r="E79" s="117"/>
      <c r="F79" s="116"/>
      <c r="G79" s="116"/>
    </row>
    <row r="80" spans="1:7" s="118" customFormat="1">
      <c r="A80" s="114"/>
      <c r="B80" s="115"/>
      <c r="C80" s="116"/>
      <c r="D80" s="116"/>
      <c r="E80" s="117"/>
      <c r="F80" s="116"/>
      <c r="G80" s="116"/>
    </row>
    <row r="81" spans="1:7" s="118" customFormat="1">
      <c r="A81" s="114"/>
      <c r="B81" s="115"/>
      <c r="C81" s="116"/>
      <c r="D81" s="116"/>
      <c r="E81" s="117"/>
      <c r="F81" s="116"/>
      <c r="G81" s="116"/>
    </row>
    <row r="82" spans="1:7" s="118" customFormat="1">
      <c r="A82" s="114"/>
      <c r="B82" s="115"/>
      <c r="C82" s="116"/>
      <c r="D82" s="116"/>
      <c r="E82" s="117"/>
      <c r="F82" s="116"/>
      <c r="G82" s="116"/>
    </row>
    <row r="83" spans="1:7" s="118" customFormat="1">
      <c r="A83" s="114"/>
      <c r="B83" s="115"/>
      <c r="C83" s="116"/>
      <c r="D83" s="116"/>
      <c r="E83" s="117"/>
      <c r="F83" s="116"/>
      <c r="G83" s="116"/>
    </row>
    <row r="84" spans="1:7" s="118" customFormat="1">
      <c r="A84" s="114"/>
      <c r="B84" s="115"/>
      <c r="C84" s="116"/>
      <c r="D84" s="116"/>
      <c r="E84" s="117"/>
      <c r="F84" s="116"/>
      <c r="G84" s="116"/>
    </row>
    <row r="85" spans="1:7" s="118" customFormat="1">
      <c r="A85" s="114"/>
      <c r="B85" s="115"/>
      <c r="C85" s="116"/>
      <c r="D85" s="116"/>
      <c r="E85" s="117"/>
      <c r="F85" s="116"/>
      <c r="G85" s="116"/>
    </row>
    <row r="86" spans="1:7" s="118" customFormat="1">
      <c r="A86" s="114"/>
      <c r="B86" s="115"/>
      <c r="C86" s="116"/>
      <c r="D86" s="116"/>
      <c r="E86" s="117"/>
      <c r="F86" s="116"/>
      <c r="G86" s="116"/>
    </row>
    <row r="87" spans="1:7" s="118" customFormat="1">
      <c r="A87" s="114"/>
      <c r="B87" s="115"/>
      <c r="C87" s="116"/>
      <c r="D87" s="116"/>
      <c r="E87" s="117"/>
      <c r="F87" s="116"/>
      <c r="G87" s="116"/>
    </row>
    <row r="88" spans="1:7" s="118" customFormat="1">
      <c r="A88" s="114"/>
      <c r="B88" s="115"/>
      <c r="C88" s="116"/>
      <c r="D88" s="116"/>
      <c r="E88" s="117"/>
      <c r="F88" s="116"/>
      <c r="G88" s="116"/>
    </row>
    <row r="89" spans="1:7" s="118" customFormat="1">
      <c r="A89" s="114"/>
      <c r="B89" s="115"/>
      <c r="C89" s="116"/>
      <c r="D89" s="116"/>
      <c r="E89" s="117"/>
      <c r="F89" s="116"/>
      <c r="G89" s="116"/>
    </row>
    <row r="90" spans="1:7" s="118" customFormat="1">
      <c r="A90" s="114"/>
      <c r="B90" s="115"/>
      <c r="C90" s="116"/>
      <c r="D90" s="116"/>
      <c r="E90" s="117"/>
      <c r="F90" s="116"/>
      <c r="G90" s="116"/>
    </row>
    <row r="91" spans="1:7" s="118" customFormat="1">
      <c r="A91" s="114"/>
      <c r="B91" s="115"/>
      <c r="C91" s="116"/>
      <c r="D91" s="116"/>
      <c r="E91" s="117"/>
      <c r="F91" s="116"/>
      <c r="G91" s="116"/>
    </row>
    <row r="92" spans="1:7">
      <c r="A92" s="119"/>
      <c r="B92" s="120"/>
      <c r="C92" s="121"/>
      <c r="D92" s="121"/>
      <c r="E92" s="122"/>
      <c r="F92" s="121"/>
      <c r="G92" s="121"/>
    </row>
    <row r="93" spans="1:7">
      <c r="A93" s="119"/>
      <c r="B93" s="120"/>
      <c r="C93" s="121"/>
      <c r="D93" s="121"/>
      <c r="E93" s="122"/>
      <c r="F93" s="121"/>
      <c r="G93" s="121"/>
    </row>
    <row r="94" spans="1:7">
      <c r="A94" s="119"/>
      <c r="B94" s="120"/>
      <c r="C94" s="121"/>
      <c r="D94" s="121"/>
      <c r="E94" s="122"/>
      <c r="F94" s="121"/>
      <c r="G94" s="121"/>
    </row>
    <row r="95" spans="1:7">
      <c r="A95" s="119"/>
      <c r="B95" s="120"/>
      <c r="C95" s="121"/>
      <c r="D95" s="121"/>
      <c r="E95" s="122"/>
      <c r="F95" s="121"/>
      <c r="G95" s="121"/>
    </row>
    <row r="96" spans="1:7">
      <c r="A96" s="119"/>
      <c r="B96" s="120"/>
      <c r="C96" s="121"/>
      <c r="D96" s="121"/>
      <c r="E96" s="122"/>
      <c r="F96" s="121"/>
      <c r="G96" s="121"/>
    </row>
    <row r="97" spans="1:7">
      <c r="A97" s="119"/>
      <c r="B97" s="120"/>
      <c r="C97" s="121"/>
      <c r="D97" s="121"/>
      <c r="E97" s="122"/>
      <c r="F97" s="121"/>
      <c r="G97" s="121"/>
    </row>
    <row r="98" spans="1:7">
      <c r="A98" s="119"/>
      <c r="B98" s="120"/>
      <c r="C98" s="121"/>
      <c r="D98" s="121"/>
      <c r="E98" s="122"/>
      <c r="F98" s="121"/>
      <c r="G98" s="121"/>
    </row>
    <row r="99" spans="1:7">
      <c r="A99" s="119"/>
      <c r="B99" s="120"/>
      <c r="C99" s="121"/>
      <c r="D99" s="121"/>
      <c r="E99" s="122"/>
      <c r="F99" s="121"/>
      <c r="G99" s="121"/>
    </row>
    <row r="100" spans="1:7">
      <c r="A100" s="119"/>
      <c r="B100" s="120"/>
      <c r="C100" s="121"/>
      <c r="D100" s="121"/>
      <c r="E100" s="122"/>
      <c r="F100" s="121"/>
      <c r="G100" s="121"/>
    </row>
    <row r="101" spans="1:7">
      <c r="A101" s="119"/>
      <c r="B101" s="120"/>
      <c r="C101" s="121"/>
      <c r="D101" s="121"/>
      <c r="E101" s="122"/>
      <c r="F101" s="121"/>
      <c r="G101" s="121"/>
    </row>
    <row r="102" spans="1:7">
      <c r="A102" s="119"/>
      <c r="B102" s="120"/>
      <c r="C102" s="121"/>
      <c r="D102" s="121"/>
      <c r="E102" s="122"/>
      <c r="F102" s="121"/>
      <c r="G102" s="121"/>
    </row>
    <row r="103" spans="1:7">
      <c r="A103" s="119"/>
      <c r="B103" s="120"/>
      <c r="C103" s="121"/>
      <c r="D103" s="121"/>
      <c r="E103" s="122"/>
      <c r="F103" s="121"/>
      <c r="G103" s="121"/>
    </row>
    <row r="104" spans="1:7">
      <c r="A104" s="119"/>
      <c r="B104" s="120"/>
      <c r="C104" s="121"/>
      <c r="D104" s="121"/>
      <c r="E104" s="122"/>
      <c r="F104" s="121"/>
      <c r="G104" s="121"/>
    </row>
    <row r="105" spans="1:7">
      <c r="A105" s="119"/>
      <c r="B105" s="120"/>
      <c r="C105" s="121"/>
      <c r="D105" s="121"/>
      <c r="E105" s="122"/>
      <c r="F105" s="121"/>
      <c r="G105" s="121"/>
    </row>
    <row r="106" spans="1:7">
      <c r="A106" s="119"/>
      <c r="B106" s="120"/>
      <c r="C106" s="121"/>
      <c r="D106" s="121"/>
      <c r="E106" s="122"/>
      <c r="F106" s="121"/>
      <c r="G106" s="121"/>
    </row>
    <row r="107" spans="1:7">
      <c r="A107" s="119"/>
      <c r="B107" s="120"/>
      <c r="C107" s="121"/>
      <c r="D107" s="121"/>
      <c r="E107" s="122"/>
      <c r="F107" s="121"/>
      <c r="G107" s="121"/>
    </row>
    <row r="108" spans="1:7">
      <c r="A108" s="119"/>
      <c r="B108" s="120"/>
      <c r="C108" s="121"/>
      <c r="D108" s="121"/>
      <c r="E108" s="122"/>
      <c r="F108" s="121"/>
      <c r="G108" s="121"/>
    </row>
    <row r="109" spans="1:7">
      <c r="A109" s="119"/>
      <c r="B109" s="120"/>
      <c r="C109" s="121"/>
      <c r="D109" s="121"/>
      <c r="E109" s="122"/>
      <c r="F109" s="121"/>
      <c r="G109" s="121"/>
    </row>
    <row r="110" spans="1:7">
      <c r="A110" s="119"/>
      <c r="B110" s="120"/>
      <c r="C110" s="121"/>
      <c r="D110" s="121"/>
      <c r="E110" s="122"/>
      <c r="F110" s="121"/>
      <c r="G110" s="121"/>
    </row>
    <row r="111" spans="1:7">
      <c r="A111" s="119"/>
      <c r="B111" s="120"/>
      <c r="C111" s="121"/>
      <c r="D111" s="121"/>
      <c r="E111" s="122"/>
      <c r="F111" s="121"/>
      <c r="G111" s="121"/>
    </row>
    <row r="112" spans="1:7">
      <c r="A112" s="119"/>
      <c r="B112" s="120"/>
      <c r="C112" s="121"/>
      <c r="D112" s="121"/>
      <c r="E112" s="122"/>
      <c r="F112" s="121"/>
      <c r="G112" s="121"/>
    </row>
    <row r="113" spans="1:7">
      <c r="A113" s="119"/>
      <c r="B113" s="120"/>
      <c r="C113" s="121"/>
      <c r="D113" s="121"/>
      <c r="E113" s="122"/>
      <c r="F113" s="121"/>
      <c r="G113" s="121"/>
    </row>
    <row r="114" spans="1:7">
      <c r="A114" s="119"/>
      <c r="B114" s="120"/>
      <c r="C114" s="121"/>
      <c r="D114" s="121"/>
      <c r="E114" s="122"/>
      <c r="F114" s="121"/>
      <c r="G114" s="121"/>
    </row>
    <row r="115" spans="1:7">
      <c r="A115" s="119"/>
      <c r="B115" s="120"/>
      <c r="C115" s="121"/>
      <c r="D115" s="121"/>
      <c r="E115" s="122"/>
      <c r="F115" s="121"/>
      <c r="G115" s="121"/>
    </row>
    <row r="116" spans="1:7">
      <c r="A116" s="119"/>
      <c r="B116" s="120"/>
      <c r="C116" s="121"/>
      <c r="D116" s="121"/>
      <c r="E116" s="122"/>
      <c r="F116" s="121"/>
      <c r="G116" s="121"/>
    </row>
    <row r="117" spans="1:7">
      <c r="A117" s="119"/>
      <c r="B117" s="120"/>
      <c r="C117" s="121"/>
      <c r="D117" s="121"/>
      <c r="E117" s="122"/>
      <c r="F117" s="121"/>
      <c r="G117" s="121"/>
    </row>
    <row r="118" spans="1:7">
      <c r="A118" s="119"/>
      <c r="B118" s="120"/>
      <c r="C118" s="121"/>
      <c r="D118" s="121"/>
      <c r="E118" s="122"/>
      <c r="F118" s="121"/>
      <c r="G118" s="121"/>
    </row>
    <row r="119" spans="1:7">
      <c r="A119" s="119"/>
      <c r="B119" s="120"/>
      <c r="C119" s="121"/>
      <c r="D119" s="121"/>
      <c r="E119" s="122"/>
      <c r="F119" s="121"/>
      <c r="G119" s="121"/>
    </row>
    <row r="120" spans="1:7">
      <c r="A120" s="119"/>
      <c r="B120" s="120"/>
      <c r="C120" s="121"/>
      <c r="D120" s="121"/>
      <c r="E120" s="122"/>
      <c r="F120" s="121"/>
      <c r="G120" s="121"/>
    </row>
    <row r="121" spans="1:7">
      <c r="A121" s="119"/>
      <c r="B121" s="120"/>
      <c r="C121" s="121"/>
      <c r="D121" s="121"/>
      <c r="E121" s="122"/>
      <c r="F121" s="121"/>
      <c r="G121" s="121"/>
    </row>
    <row r="122" spans="1:7">
      <c r="A122" s="119"/>
      <c r="B122" s="120"/>
      <c r="C122" s="121"/>
      <c r="D122" s="121"/>
      <c r="E122" s="122"/>
      <c r="F122" s="121"/>
      <c r="G122" s="121"/>
    </row>
    <row r="123" spans="1:7">
      <c r="A123" s="119"/>
      <c r="B123" s="120"/>
      <c r="C123" s="121"/>
      <c r="D123" s="121"/>
      <c r="E123" s="122"/>
      <c r="F123" s="121"/>
      <c r="G123" s="121"/>
    </row>
    <row r="124" spans="1:7">
      <c r="A124" s="119"/>
      <c r="B124" s="120"/>
      <c r="C124" s="121"/>
      <c r="D124" s="121"/>
      <c r="E124" s="122"/>
      <c r="F124" s="121"/>
      <c r="G124" s="121"/>
    </row>
    <row r="125" spans="1:7">
      <c r="A125" s="119"/>
      <c r="B125" s="120"/>
      <c r="C125" s="121"/>
      <c r="D125" s="121"/>
      <c r="E125" s="122"/>
      <c r="F125" s="121"/>
      <c r="G125" s="121"/>
    </row>
    <row r="126" spans="1:7">
      <c r="A126" s="119"/>
      <c r="B126" s="120"/>
      <c r="C126" s="121"/>
      <c r="D126" s="121"/>
      <c r="E126" s="122"/>
      <c r="F126" s="121"/>
      <c r="G126" s="121"/>
    </row>
    <row r="127" spans="1:7">
      <c r="A127" s="119"/>
      <c r="B127" s="120"/>
      <c r="C127" s="121"/>
      <c r="D127" s="121"/>
      <c r="E127" s="122"/>
      <c r="F127" s="121"/>
      <c r="G127" s="121"/>
    </row>
    <row r="128" spans="1:7">
      <c r="A128" s="119"/>
      <c r="B128" s="120"/>
      <c r="C128" s="121"/>
      <c r="D128" s="121"/>
      <c r="E128" s="122"/>
      <c r="F128" s="121"/>
      <c r="G128" s="121"/>
    </row>
    <row r="129" spans="1:7">
      <c r="A129" s="119"/>
      <c r="B129" s="120"/>
      <c r="C129" s="121"/>
      <c r="D129" s="121"/>
      <c r="E129" s="122"/>
      <c r="F129" s="121"/>
      <c r="G129" s="121"/>
    </row>
    <row r="130" spans="1:7">
      <c r="A130" s="119"/>
      <c r="B130" s="120"/>
      <c r="C130" s="121"/>
      <c r="D130" s="121"/>
      <c r="E130" s="122"/>
      <c r="F130" s="121"/>
      <c r="G130" s="121"/>
    </row>
    <row r="131" spans="1:7">
      <c r="A131" s="119"/>
      <c r="B131" s="120"/>
      <c r="C131" s="121"/>
      <c r="D131" s="121"/>
      <c r="E131" s="122"/>
      <c r="F131" s="121"/>
      <c r="G131" s="121"/>
    </row>
    <row r="132" spans="1:7">
      <c r="A132" s="119"/>
      <c r="B132" s="120"/>
      <c r="C132" s="121"/>
      <c r="D132" s="121"/>
      <c r="E132" s="122"/>
      <c r="F132" s="121"/>
      <c r="G132" s="121"/>
    </row>
    <row r="133" spans="1:7">
      <c r="A133" s="119"/>
      <c r="B133" s="120"/>
      <c r="C133" s="121"/>
      <c r="D133" s="121"/>
      <c r="E133" s="122"/>
      <c r="F133" s="121"/>
      <c r="G133" s="121"/>
    </row>
    <row r="134" spans="1:7">
      <c r="A134" s="119"/>
      <c r="B134" s="120"/>
      <c r="C134" s="121"/>
      <c r="D134" s="121"/>
      <c r="E134" s="122"/>
      <c r="F134" s="121"/>
      <c r="G134" s="121"/>
    </row>
    <row r="135" spans="1:7">
      <c r="A135" s="119"/>
      <c r="B135" s="120"/>
      <c r="C135" s="121"/>
      <c r="D135" s="121"/>
      <c r="E135" s="122"/>
      <c r="F135" s="121"/>
      <c r="G135" s="121"/>
    </row>
    <row r="136" spans="1:7">
      <c r="A136" s="119"/>
      <c r="B136" s="120"/>
      <c r="C136" s="121"/>
      <c r="D136" s="121"/>
      <c r="E136" s="122"/>
      <c r="F136" s="121"/>
      <c r="G136" s="121"/>
    </row>
    <row r="137" spans="1:7">
      <c r="A137" s="119"/>
      <c r="B137" s="120"/>
      <c r="C137" s="121"/>
      <c r="D137" s="121"/>
      <c r="E137" s="122"/>
      <c r="F137" s="121"/>
      <c r="G137" s="121"/>
    </row>
    <row r="138" spans="1:7">
      <c r="A138" s="119"/>
      <c r="B138" s="120"/>
      <c r="C138" s="121"/>
      <c r="D138" s="121"/>
      <c r="E138" s="122"/>
      <c r="F138" s="121"/>
      <c r="G138" s="121"/>
    </row>
    <row r="139" spans="1:7">
      <c r="A139" s="119"/>
      <c r="B139" s="120"/>
      <c r="C139" s="121"/>
      <c r="D139" s="121"/>
      <c r="E139" s="122"/>
      <c r="F139" s="121"/>
      <c r="G139" s="121"/>
    </row>
    <row r="140" spans="1:7">
      <c r="A140" s="119"/>
      <c r="B140" s="120"/>
      <c r="C140" s="121"/>
      <c r="D140" s="121"/>
      <c r="E140" s="122"/>
      <c r="F140" s="121"/>
      <c r="G140" s="121"/>
    </row>
    <row r="141" spans="1:7">
      <c r="A141" s="119"/>
      <c r="B141" s="120"/>
      <c r="C141" s="121"/>
      <c r="D141" s="121"/>
      <c r="E141" s="122"/>
      <c r="F141" s="121"/>
      <c r="G141" s="121"/>
    </row>
    <row r="142" spans="1:7">
      <c r="A142" s="119"/>
      <c r="B142" s="120"/>
      <c r="C142" s="121"/>
      <c r="D142" s="121"/>
      <c r="E142" s="122"/>
      <c r="F142" s="121"/>
      <c r="G142" s="121"/>
    </row>
    <row r="143" spans="1:7">
      <c r="A143" s="119"/>
      <c r="B143" s="120"/>
      <c r="C143" s="121"/>
      <c r="D143" s="121"/>
      <c r="E143" s="122"/>
      <c r="F143" s="121"/>
      <c r="G143" s="121"/>
    </row>
    <row r="144" spans="1:7">
      <c r="A144" s="119"/>
      <c r="B144" s="120"/>
      <c r="C144" s="121"/>
      <c r="D144" s="121"/>
      <c r="E144" s="122"/>
      <c r="F144" s="121"/>
      <c r="G144" s="121"/>
    </row>
    <row r="145" spans="1:7">
      <c r="A145" s="119"/>
      <c r="B145" s="120"/>
      <c r="C145" s="121"/>
      <c r="D145" s="121"/>
      <c r="E145" s="122"/>
      <c r="F145" s="121"/>
      <c r="G145" s="121"/>
    </row>
    <row r="146" spans="1:7">
      <c r="A146" s="119"/>
      <c r="B146" s="120"/>
      <c r="C146" s="121"/>
      <c r="D146" s="121"/>
      <c r="E146" s="122"/>
      <c r="F146" s="121"/>
      <c r="G146" s="121"/>
    </row>
    <row r="147" spans="1:7">
      <c r="A147" s="119"/>
      <c r="B147" s="120"/>
      <c r="C147" s="121"/>
      <c r="D147" s="121"/>
      <c r="E147" s="122"/>
      <c r="F147" s="121"/>
      <c r="G147" s="121"/>
    </row>
    <row r="148" spans="1:7">
      <c r="A148" s="119"/>
      <c r="B148" s="120"/>
      <c r="C148" s="121"/>
      <c r="D148" s="121"/>
      <c r="E148" s="122"/>
      <c r="F148" s="121"/>
      <c r="G148" s="121"/>
    </row>
    <row r="149" spans="1:7">
      <c r="A149" s="119"/>
      <c r="B149" s="120"/>
      <c r="C149" s="121"/>
      <c r="D149" s="121"/>
      <c r="E149" s="122"/>
      <c r="F149" s="121"/>
      <c r="G149" s="121"/>
    </row>
    <row r="150" spans="1:7">
      <c r="A150" s="119"/>
      <c r="B150" s="120"/>
      <c r="C150" s="121"/>
      <c r="D150" s="121"/>
      <c r="E150" s="122"/>
      <c r="F150" s="121"/>
      <c r="G150" s="121"/>
    </row>
    <row r="151" spans="1:7">
      <c r="A151" s="119"/>
      <c r="B151" s="120"/>
      <c r="C151" s="121"/>
      <c r="D151" s="121"/>
      <c r="E151" s="122"/>
      <c r="F151" s="121"/>
      <c r="G151" s="121"/>
    </row>
    <row r="152" spans="1:7">
      <c r="A152" s="119"/>
      <c r="B152" s="120"/>
      <c r="C152" s="121"/>
      <c r="D152" s="121"/>
      <c r="E152" s="122"/>
      <c r="F152" s="121"/>
      <c r="G152" s="121"/>
    </row>
    <row r="153" spans="1:7">
      <c r="A153" s="119"/>
      <c r="B153" s="120"/>
      <c r="C153" s="121"/>
      <c r="D153" s="121"/>
      <c r="E153" s="122"/>
      <c r="F153" s="121"/>
      <c r="G153" s="121"/>
    </row>
    <row r="154" spans="1:7">
      <c r="A154" s="119"/>
      <c r="B154" s="120"/>
      <c r="C154" s="121"/>
      <c r="D154" s="121"/>
      <c r="E154" s="122"/>
      <c r="F154" s="121"/>
      <c r="G154" s="121"/>
    </row>
    <row r="155" spans="1:7">
      <c r="A155" s="119"/>
      <c r="B155" s="120"/>
      <c r="C155" s="121"/>
      <c r="D155" s="121"/>
      <c r="E155" s="122"/>
      <c r="F155" s="121"/>
      <c r="G155" s="121"/>
    </row>
    <row r="156" spans="1:7">
      <c r="A156" s="119"/>
      <c r="B156" s="120"/>
      <c r="C156" s="121"/>
      <c r="D156" s="121"/>
      <c r="E156" s="122"/>
      <c r="F156" s="121"/>
      <c r="G156" s="121"/>
    </row>
    <row r="157" spans="1:7">
      <c r="A157" s="119"/>
      <c r="B157" s="120"/>
      <c r="C157" s="121"/>
      <c r="D157" s="121"/>
      <c r="E157" s="122"/>
      <c r="F157" s="121"/>
      <c r="G157" s="121"/>
    </row>
    <row r="158" spans="1:7">
      <c r="A158" s="119"/>
      <c r="B158" s="120"/>
      <c r="C158" s="121"/>
      <c r="D158" s="121"/>
      <c r="E158" s="122"/>
      <c r="F158" s="121"/>
      <c r="G158" s="121"/>
    </row>
    <row r="159" spans="1:7">
      <c r="A159" s="119"/>
      <c r="B159" s="120"/>
      <c r="C159" s="121"/>
      <c r="D159" s="121"/>
      <c r="E159" s="122"/>
      <c r="F159" s="121"/>
      <c r="G159" s="121"/>
    </row>
    <row r="160" spans="1:7">
      <c r="A160" s="119"/>
      <c r="B160" s="120"/>
      <c r="C160" s="121"/>
      <c r="D160" s="121"/>
      <c r="E160" s="122"/>
      <c r="F160" s="121"/>
      <c r="G160" s="121"/>
    </row>
    <row r="161" spans="1:7">
      <c r="A161" s="119"/>
      <c r="B161" s="120"/>
      <c r="C161" s="121"/>
      <c r="D161" s="121"/>
      <c r="E161" s="122"/>
      <c r="F161" s="121"/>
      <c r="G161" s="121"/>
    </row>
    <row r="162" spans="1:7">
      <c r="A162" s="119"/>
      <c r="B162" s="120"/>
      <c r="C162" s="121"/>
      <c r="D162" s="121"/>
      <c r="E162" s="122"/>
      <c r="F162" s="121"/>
      <c r="G162" s="121"/>
    </row>
    <row r="163" spans="1:7">
      <c r="A163" s="119"/>
      <c r="B163" s="120"/>
      <c r="C163" s="121"/>
      <c r="D163" s="121"/>
      <c r="E163" s="122"/>
      <c r="F163" s="121"/>
      <c r="G163" s="121"/>
    </row>
    <row r="164" spans="1:7">
      <c r="A164" s="119"/>
      <c r="B164" s="120"/>
      <c r="C164" s="121"/>
      <c r="D164" s="121"/>
      <c r="E164" s="122"/>
      <c r="F164" s="121"/>
      <c r="G164" s="121"/>
    </row>
    <row r="165" spans="1:7">
      <c r="A165" s="119"/>
      <c r="B165" s="120"/>
      <c r="C165" s="121"/>
      <c r="D165" s="121"/>
      <c r="E165" s="122"/>
      <c r="F165" s="121"/>
      <c r="G165" s="121"/>
    </row>
    <row r="166" spans="1:7">
      <c r="A166" s="119"/>
      <c r="B166" s="120"/>
      <c r="C166" s="121"/>
      <c r="D166" s="121"/>
      <c r="E166" s="122"/>
      <c r="F166" s="121"/>
      <c r="G166" s="121"/>
    </row>
    <row r="167" spans="1:7">
      <c r="A167" s="119"/>
      <c r="B167" s="120"/>
      <c r="C167" s="121"/>
      <c r="D167" s="121"/>
      <c r="E167" s="122"/>
      <c r="F167" s="121"/>
      <c r="G167" s="121"/>
    </row>
    <row r="168" spans="1:7">
      <c r="A168" s="119"/>
      <c r="B168" s="120"/>
      <c r="C168" s="121"/>
      <c r="D168" s="121"/>
      <c r="E168" s="122"/>
      <c r="F168" s="121"/>
      <c r="G168" s="121"/>
    </row>
    <row r="169" spans="1:7">
      <c r="A169" s="119"/>
      <c r="B169" s="120"/>
      <c r="C169" s="121"/>
      <c r="D169" s="121"/>
      <c r="E169" s="122"/>
      <c r="F169" s="121"/>
      <c r="G169" s="121"/>
    </row>
    <row r="170" spans="1:7">
      <c r="A170" s="119"/>
      <c r="B170" s="120"/>
      <c r="C170" s="121"/>
      <c r="D170" s="121"/>
      <c r="E170" s="122"/>
      <c r="F170" s="121"/>
      <c r="G170" s="121"/>
    </row>
    <row r="171" spans="1:7">
      <c r="A171" s="119"/>
      <c r="B171" s="120"/>
      <c r="C171" s="121"/>
      <c r="D171" s="121"/>
      <c r="E171" s="122"/>
      <c r="F171" s="121"/>
      <c r="G171" s="121"/>
    </row>
    <row r="172" spans="1:7">
      <c r="A172" s="119"/>
      <c r="B172" s="120"/>
      <c r="C172" s="121"/>
      <c r="D172" s="121"/>
      <c r="E172" s="122"/>
      <c r="F172" s="121"/>
      <c r="G172" s="121"/>
    </row>
    <row r="173" spans="1:7">
      <c r="A173" s="119"/>
      <c r="B173" s="120"/>
      <c r="C173" s="121"/>
      <c r="D173" s="121"/>
      <c r="E173" s="122"/>
      <c r="F173" s="121"/>
      <c r="G173" s="121"/>
    </row>
    <row r="174" spans="1:7">
      <c r="A174" s="119"/>
      <c r="B174" s="120"/>
      <c r="C174" s="121"/>
      <c r="D174" s="121"/>
      <c r="E174" s="122"/>
      <c r="F174" s="121"/>
      <c r="G174" s="121"/>
    </row>
    <row r="175" spans="1:7">
      <c r="A175" s="119"/>
      <c r="B175" s="120"/>
      <c r="C175" s="121"/>
      <c r="D175" s="121"/>
      <c r="E175" s="122"/>
      <c r="F175" s="121"/>
      <c r="G175" s="121"/>
    </row>
    <row r="176" spans="1:7">
      <c r="A176" s="119"/>
      <c r="B176" s="120"/>
      <c r="C176" s="121"/>
      <c r="D176" s="121"/>
      <c r="E176" s="122"/>
      <c r="F176" s="121"/>
      <c r="G176" s="121"/>
    </row>
    <row r="177" spans="1:7">
      <c r="A177" s="119"/>
      <c r="B177" s="120"/>
      <c r="C177" s="121"/>
      <c r="D177" s="121"/>
      <c r="E177" s="122"/>
      <c r="F177" s="121"/>
      <c r="G177" s="121"/>
    </row>
    <row r="178" spans="1:7">
      <c r="A178" s="119"/>
      <c r="B178" s="120"/>
      <c r="C178" s="121"/>
      <c r="D178" s="121"/>
      <c r="E178" s="122"/>
      <c r="F178" s="121"/>
      <c r="G178" s="121"/>
    </row>
    <row r="179" spans="1:7">
      <c r="A179" s="119"/>
      <c r="B179" s="120"/>
      <c r="C179" s="121"/>
      <c r="D179" s="121"/>
      <c r="E179" s="122"/>
      <c r="F179" s="121"/>
      <c r="G179" s="121"/>
    </row>
    <row r="180" spans="1:7">
      <c r="A180" s="119"/>
      <c r="B180" s="120"/>
      <c r="C180" s="121"/>
      <c r="D180" s="121"/>
      <c r="E180" s="122"/>
      <c r="F180" s="121"/>
      <c r="G180" s="121"/>
    </row>
    <row r="181" spans="1:7">
      <c r="A181" s="119"/>
      <c r="B181" s="120"/>
      <c r="C181" s="121"/>
      <c r="D181" s="121"/>
      <c r="E181" s="122"/>
      <c r="F181" s="121"/>
      <c r="G181" s="121"/>
    </row>
    <row r="182" spans="1:7">
      <c r="A182" s="119"/>
      <c r="B182" s="120"/>
      <c r="C182" s="121"/>
      <c r="D182" s="121"/>
      <c r="E182" s="122"/>
      <c r="F182" s="121"/>
      <c r="G182" s="121"/>
    </row>
    <row r="183" spans="1:7">
      <c r="A183" s="119"/>
      <c r="B183" s="120"/>
      <c r="C183" s="121"/>
      <c r="D183" s="121"/>
      <c r="E183" s="122"/>
      <c r="F183" s="121"/>
      <c r="G183" s="121"/>
    </row>
    <row r="184" spans="1:7">
      <c r="A184" s="119"/>
      <c r="B184" s="120"/>
      <c r="C184" s="121"/>
      <c r="D184" s="121"/>
      <c r="E184" s="122"/>
      <c r="F184" s="121"/>
      <c r="G184" s="121"/>
    </row>
    <row r="185" spans="1:7">
      <c r="A185" s="119"/>
      <c r="B185" s="120"/>
      <c r="C185" s="121"/>
      <c r="D185" s="121"/>
      <c r="E185" s="122"/>
      <c r="F185" s="121"/>
      <c r="G185" s="121"/>
    </row>
    <row r="186" spans="1:7">
      <c r="A186" s="119"/>
      <c r="B186" s="120"/>
      <c r="C186" s="121"/>
      <c r="D186" s="121"/>
      <c r="E186" s="122"/>
      <c r="F186" s="121"/>
      <c r="G186" s="121"/>
    </row>
    <row r="187" spans="1:7">
      <c r="A187" s="119"/>
      <c r="B187" s="120"/>
      <c r="C187" s="121"/>
      <c r="D187" s="121"/>
      <c r="E187" s="122"/>
      <c r="F187" s="121"/>
      <c r="G187" s="121"/>
    </row>
    <row r="188" spans="1:7">
      <c r="A188" s="119"/>
      <c r="B188" s="120"/>
      <c r="C188" s="121"/>
      <c r="D188" s="121"/>
      <c r="E188" s="122"/>
      <c r="F188" s="121"/>
      <c r="G188" s="121"/>
    </row>
    <row r="189" spans="1:7">
      <c r="A189" s="119"/>
      <c r="B189" s="120"/>
      <c r="C189" s="121"/>
      <c r="D189" s="121"/>
      <c r="E189" s="122"/>
      <c r="F189" s="121"/>
      <c r="G189" s="121"/>
    </row>
    <row r="190" spans="1:7">
      <c r="A190" s="119"/>
      <c r="B190" s="120"/>
      <c r="C190" s="121"/>
      <c r="D190" s="121"/>
      <c r="E190" s="122"/>
      <c r="F190" s="121"/>
      <c r="G190" s="121"/>
    </row>
    <row r="191" spans="1:7">
      <c r="A191" s="119"/>
      <c r="B191" s="120"/>
      <c r="C191" s="121"/>
      <c r="D191" s="121"/>
      <c r="E191" s="122"/>
      <c r="F191" s="121"/>
      <c r="G191" s="121"/>
    </row>
    <row r="192" spans="1:7">
      <c r="A192" s="119"/>
      <c r="B192" s="120"/>
      <c r="C192" s="121"/>
      <c r="D192" s="121"/>
      <c r="E192" s="122"/>
      <c r="F192" s="121"/>
      <c r="G192" s="121"/>
    </row>
    <row r="193" spans="1:7">
      <c r="A193" s="119"/>
      <c r="B193" s="120"/>
      <c r="C193" s="121"/>
      <c r="D193" s="121"/>
      <c r="E193" s="122"/>
      <c r="F193" s="121"/>
      <c r="G193" s="121"/>
    </row>
    <row r="194" spans="1:7">
      <c r="A194" s="119"/>
      <c r="B194" s="120"/>
      <c r="C194" s="121"/>
      <c r="D194" s="121"/>
      <c r="E194" s="122"/>
      <c r="F194" s="121"/>
      <c r="G194" s="121"/>
    </row>
    <row r="195" spans="1:7">
      <c r="A195" s="119"/>
      <c r="B195" s="120"/>
      <c r="C195" s="121"/>
      <c r="D195" s="121"/>
      <c r="E195" s="122"/>
      <c r="F195" s="121"/>
      <c r="G195" s="121"/>
    </row>
    <row r="196" spans="1:7">
      <c r="A196" s="119"/>
      <c r="B196" s="120"/>
      <c r="C196" s="121"/>
      <c r="D196" s="121"/>
      <c r="E196" s="122"/>
      <c r="F196" s="121"/>
      <c r="G196" s="121"/>
    </row>
    <row r="197" spans="1:7">
      <c r="A197" s="119"/>
      <c r="B197" s="120"/>
      <c r="C197" s="121"/>
      <c r="D197" s="121"/>
      <c r="E197" s="122"/>
      <c r="F197" s="121"/>
      <c r="G197" s="121"/>
    </row>
    <row r="198" spans="1:7">
      <c r="A198" s="119"/>
      <c r="B198" s="120"/>
      <c r="C198" s="121"/>
      <c r="D198" s="121"/>
      <c r="E198" s="122"/>
      <c r="F198" s="121"/>
      <c r="G198" s="121"/>
    </row>
    <row r="199" spans="1:7">
      <c r="A199" s="119"/>
      <c r="B199" s="120"/>
      <c r="C199" s="121"/>
      <c r="D199" s="121"/>
      <c r="E199" s="122"/>
      <c r="F199" s="121"/>
      <c r="G199" s="121"/>
    </row>
    <row r="200" spans="1:7">
      <c r="A200" s="119"/>
      <c r="B200" s="120"/>
      <c r="C200" s="121"/>
      <c r="D200" s="121"/>
      <c r="E200" s="122"/>
      <c r="F200" s="121"/>
      <c r="G200" s="121"/>
    </row>
    <row r="201" spans="1:7">
      <c r="A201" s="119"/>
      <c r="B201" s="120"/>
      <c r="C201" s="121"/>
      <c r="D201" s="121"/>
      <c r="E201" s="122"/>
      <c r="F201" s="121"/>
      <c r="G201" s="121"/>
    </row>
    <row r="202" spans="1:7">
      <c r="A202" s="119"/>
      <c r="B202" s="120"/>
      <c r="C202" s="121"/>
      <c r="D202" s="121"/>
      <c r="E202" s="122"/>
      <c r="F202" s="121"/>
      <c r="G202" s="121"/>
    </row>
    <row r="203" spans="1:7">
      <c r="A203" s="119"/>
      <c r="B203" s="120"/>
      <c r="C203" s="121"/>
      <c r="D203" s="121"/>
      <c r="E203" s="122"/>
      <c r="F203" s="121"/>
      <c r="G203" s="121"/>
    </row>
    <row r="204" spans="1:7">
      <c r="A204" s="119"/>
      <c r="B204" s="120"/>
      <c r="C204" s="121"/>
      <c r="D204" s="121"/>
      <c r="E204" s="122"/>
      <c r="F204" s="121"/>
      <c r="G204" s="121"/>
    </row>
    <row r="205" spans="1:7">
      <c r="A205" s="119"/>
      <c r="B205" s="120"/>
      <c r="C205" s="121"/>
      <c r="D205" s="121"/>
      <c r="E205" s="122"/>
      <c r="F205" s="121"/>
      <c r="G205" s="121"/>
    </row>
    <row r="206" spans="1:7">
      <c r="A206" s="119"/>
      <c r="B206" s="120"/>
      <c r="C206" s="121"/>
      <c r="D206" s="121"/>
      <c r="E206" s="122"/>
      <c r="F206" s="121"/>
      <c r="G206" s="121"/>
    </row>
    <row r="207" spans="1:7">
      <c r="A207" s="119"/>
      <c r="B207" s="120"/>
      <c r="C207" s="121"/>
      <c r="D207" s="121"/>
      <c r="E207" s="122"/>
      <c r="F207" s="121"/>
      <c r="G207" s="121"/>
    </row>
    <row r="208" spans="1:7">
      <c r="A208" s="119"/>
      <c r="B208" s="120"/>
      <c r="C208" s="121"/>
      <c r="D208" s="121"/>
      <c r="E208" s="122"/>
      <c r="F208" s="121"/>
      <c r="G208" s="121"/>
    </row>
    <row r="209" spans="1:7">
      <c r="A209" s="119"/>
      <c r="B209" s="120"/>
      <c r="C209" s="121"/>
      <c r="D209" s="121"/>
      <c r="E209" s="122"/>
      <c r="F209" s="121"/>
      <c r="G209" s="121"/>
    </row>
    <row r="210" spans="1:7">
      <c r="A210" s="119"/>
      <c r="B210" s="120"/>
      <c r="C210" s="121"/>
      <c r="D210" s="121"/>
      <c r="E210" s="122"/>
      <c r="F210" s="121"/>
      <c r="G210" s="121"/>
    </row>
    <row r="211" spans="1:7">
      <c r="A211" s="119"/>
      <c r="B211" s="120"/>
      <c r="C211" s="121"/>
      <c r="D211" s="121"/>
      <c r="E211" s="122"/>
      <c r="F211" s="121"/>
      <c r="G211" s="121"/>
    </row>
    <row r="212" spans="1:7">
      <c r="A212" s="119"/>
      <c r="B212" s="120"/>
      <c r="C212" s="121"/>
      <c r="D212" s="121"/>
      <c r="E212" s="122"/>
      <c r="F212" s="121"/>
      <c r="G212" s="121"/>
    </row>
    <row r="213" spans="1:7">
      <c r="A213" s="119"/>
      <c r="B213" s="120"/>
      <c r="C213" s="121"/>
      <c r="D213" s="121"/>
      <c r="E213" s="122"/>
      <c r="F213" s="121"/>
      <c r="G213" s="121"/>
    </row>
    <row r="214" spans="1:7">
      <c r="A214" s="119"/>
      <c r="B214" s="120"/>
      <c r="C214" s="121"/>
      <c r="D214" s="121"/>
      <c r="E214" s="122"/>
      <c r="F214" s="121"/>
      <c r="G214" s="121"/>
    </row>
    <row r="215" spans="1:7">
      <c r="A215" s="119"/>
      <c r="B215" s="120"/>
      <c r="C215" s="121"/>
      <c r="D215" s="121"/>
      <c r="E215" s="122"/>
      <c r="F215" s="121"/>
      <c r="G215" s="121"/>
    </row>
    <row r="216" spans="1:7">
      <c r="A216" s="119"/>
      <c r="B216" s="120"/>
      <c r="C216" s="121"/>
      <c r="D216" s="121"/>
      <c r="E216" s="122"/>
      <c r="F216" s="121"/>
      <c r="G216" s="121"/>
    </row>
    <row r="217" spans="1:7">
      <c r="A217" s="119"/>
      <c r="B217" s="120"/>
      <c r="C217" s="121"/>
      <c r="D217" s="121"/>
      <c r="E217" s="122"/>
      <c r="F217" s="121"/>
      <c r="G217" s="121"/>
    </row>
    <row r="218" spans="1:7">
      <c r="A218" s="119"/>
      <c r="B218" s="120"/>
      <c r="C218" s="121"/>
      <c r="D218" s="121"/>
      <c r="E218" s="122"/>
      <c r="F218" s="121"/>
      <c r="G218" s="121"/>
    </row>
    <row r="219" spans="1:7">
      <c r="A219" s="119"/>
      <c r="B219" s="120"/>
      <c r="C219" s="121"/>
      <c r="D219" s="121"/>
      <c r="E219" s="122"/>
      <c r="F219" s="121"/>
      <c r="G219" s="121"/>
    </row>
    <row r="220" spans="1:7">
      <c r="A220" s="119"/>
      <c r="B220" s="120"/>
      <c r="C220" s="121"/>
      <c r="D220" s="121"/>
      <c r="E220" s="122"/>
      <c r="F220" s="121"/>
      <c r="G220" s="121"/>
    </row>
    <row r="221" spans="1:7">
      <c r="A221" s="119"/>
      <c r="B221" s="120"/>
      <c r="C221" s="121"/>
      <c r="D221" s="121"/>
      <c r="E221" s="122"/>
      <c r="F221" s="121"/>
      <c r="G221" s="121"/>
    </row>
    <row r="222" spans="1:7">
      <c r="A222" s="119"/>
      <c r="B222" s="120"/>
      <c r="C222" s="121"/>
      <c r="D222" s="121"/>
      <c r="E222" s="122"/>
      <c r="F222" s="121"/>
      <c r="G222" s="121"/>
    </row>
    <row r="223" spans="1:7">
      <c r="A223" s="119"/>
      <c r="B223" s="120"/>
      <c r="C223" s="121"/>
      <c r="D223" s="121"/>
      <c r="E223" s="122"/>
      <c r="F223" s="121"/>
      <c r="G223" s="121"/>
    </row>
    <row r="224" spans="1:7">
      <c r="A224" s="119"/>
      <c r="B224" s="120"/>
      <c r="C224" s="121"/>
      <c r="D224" s="121"/>
      <c r="E224" s="122"/>
      <c r="F224" s="121"/>
      <c r="G224" s="121"/>
    </row>
    <row r="225" spans="1:7">
      <c r="A225" s="119"/>
      <c r="B225" s="120"/>
      <c r="C225" s="121"/>
      <c r="D225" s="121"/>
      <c r="E225" s="122"/>
      <c r="F225" s="121"/>
      <c r="G225" s="121"/>
    </row>
    <row r="226" spans="1:7">
      <c r="A226" s="119"/>
      <c r="B226" s="120"/>
      <c r="C226" s="121"/>
      <c r="D226" s="121"/>
      <c r="E226" s="122"/>
      <c r="F226" s="121"/>
      <c r="G226" s="121"/>
    </row>
    <row r="227" spans="1:7">
      <c r="A227" s="119"/>
      <c r="B227" s="120"/>
      <c r="C227" s="121"/>
      <c r="D227" s="121"/>
      <c r="E227" s="122"/>
      <c r="F227" s="121"/>
      <c r="G227" s="121"/>
    </row>
    <row r="228" spans="1:7">
      <c r="A228" s="119"/>
      <c r="B228" s="120"/>
      <c r="C228" s="121"/>
      <c r="D228" s="121"/>
      <c r="E228" s="122"/>
      <c r="F228" s="121"/>
      <c r="G228" s="121"/>
    </row>
    <row r="229" spans="1:7">
      <c r="A229" s="119"/>
      <c r="B229" s="120"/>
      <c r="C229" s="121"/>
      <c r="D229" s="121"/>
      <c r="E229" s="122"/>
      <c r="F229" s="121"/>
      <c r="G229" s="121"/>
    </row>
    <row r="230" spans="1:7">
      <c r="A230" s="119"/>
      <c r="B230" s="120"/>
      <c r="C230" s="121"/>
      <c r="D230" s="121"/>
      <c r="E230" s="122"/>
      <c r="F230" s="121"/>
      <c r="G230" s="121"/>
    </row>
    <row r="231" spans="1:7">
      <c r="A231" s="119"/>
      <c r="B231" s="120"/>
      <c r="C231" s="121"/>
      <c r="D231" s="121"/>
      <c r="E231" s="122"/>
      <c r="F231" s="121"/>
      <c r="G231" s="121"/>
    </row>
    <row r="232" spans="1:7">
      <c r="A232" s="119"/>
      <c r="B232" s="120"/>
      <c r="C232" s="121"/>
      <c r="D232" s="121"/>
      <c r="E232" s="122"/>
      <c r="F232" s="121"/>
      <c r="G232" s="121"/>
    </row>
    <row r="233" spans="1:7">
      <c r="A233" s="119"/>
      <c r="B233" s="120"/>
      <c r="C233" s="121"/>
      <c r="D233" s="121"/>
      <c r="E233" s="122"/>
      <c r="F233" s="121"/>
      <c r="G233" s="121"/>
    </row>
    <row r="234" spans="1:7">
      <c r="A234" s="119"/>
      <c r="B234" s="120"/>
      <c r="C234" s="121"/>
      <c r="D234" s="121"/>
      <c r="E234" s="122"/>
      <c r="F234" s="121"/>
      <c r="G234" s="121"/>
    </row>
    <row r="235" spans="1:7">
      <c r="A235" s="119"/>
      <c r="B235" s="120"/>
      <c r="C235" s="121"/>
      <c r="D235" s="121"/>
      <c r="E235" s="122"/>
      <c r="F235" s="121"/>
      <c r="G235" s="121"/>
    </row>
    <row r="236" spans="1:7">
      <c r="A236" s="119"/>
      <c r="B236" s="120"/>
      <c r="C236" s="121"/>
      <c r="D236" s="121"/>
      <c r="E236" s="122"/>
      <c r="F236" s="121"/>
      <c r="G236" s="121"/>
    </row>
    <row r="237" spans="1:7">
      <c r="A237" s="119"/>
      <c r="B237" s="120"/>
      <c r="C237" s="121"/>
      <c r="D237" s="121"/>
      <c r="E237" s="122"/>
      <c r="F237" s="121"/>
      <c r="G237" s="121"/>
    </row>
    <row r="238" spans="1:7">
      <c r="A238" s="119"/>
      <c r="B238" s="120"/>
      <c r="C238" s="121"/>
      <c r="D238" s="121"/>
      <c r="E238" s="122"/>
      <c r="F238" s="121"/>
      <c r="G238" s="121"/>
    </row>
    <row r="239" spans="1:7">
      <c r="A239" s="119"/>
      <c r="B239" s="120"/>
      <c r="C239" s="121"/>
      <c r="D239" s="121"/>
      <c r="E239" s="122"/>
      <c r="F239" s="121"/>
      <c r="G239" s="121"/>
    </row>
    <row r="240" spans="1:7">
      <c r="A240" s="119"/>
      <c r="B240" s="120"/>
      <c r="C240" s="121"/>
      <c r="D240" s="121"/>
      <c r="E240" s="122"/>
      <c r="F240" s="121"/>
      <c r="G240" s="121"/>
    </row>
    <row r="241" spans="1:7">
      <c r="A241" s="119"/>
      <c r="B241" s="120"/>
      <c r="C241" s="121"/>
      <c r="D241" s="121"/>
      <c r="E241" s="122"/>
      <c r="F241" s="121"/>
      <c r="G241" s="121"/>
    </row>
  </sheetData>
  <mergeCells count="6">
    <mergeCell ref="A1:B1"/>
    <mergeCell ref="A2:F2"/>
    <mergeCell ref="A3:F3"/>
    <mergeCell ref="I28:I30"/>
    <mergeCell ref="B69:F69"/>
    <mergeCell ref="E1:F1"/>
  </mergeCells>
  <pageMargins left="0.7" right="0.7" top="0.75" bottom="0.75" header="0.3" footer="0.3"/>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Cân đối thu chi</vt:lpstr>
      <vt:lpstr>Tổng hợp DT chi huyện xã</vt:lpstr>
      <vt:lpstr>DT chi cân đối NS huyện</vt:lpstr>
      <vt:lpstr>Sheet1</vt:lpstr>
      <vt:lpstr>DT thu 2025</vt:lpstr>
      <vt:lpstr>SC SNGD</vt:lpstr>
      <vt:lpstr>chỉ tiêu KTXH</vt:lpstr>
      <vt:lpstr>chỉ tieeuNN-TS</vt:lpstr>
      <vt:lpstr>chỉ tiêu VHXH</vt:lpstr>
      <vt:lpstr>chi tieu gd-dt</vt:lpstr>
      <vt:lpstr>chi xã</vt:lpstr>
      <vt:lpstr>BSMT</vt:lpstr>
      <vt:lpstr>'DT thu 2025'!Print_Area</vt:lpstr>
      <vt:lpstr>'chỉ tieeuNN-TS'!Print_Titles</vt:lpstr>
      <vt:lpstr>'chỉ tiêu VHXH'!Print_Titles</vt:lpstr>
      <vt:lpstr>'chi xã'!Print_Titles</vt:lpstr>
      <vt:lpstr>'DT chi cân đối NS huyện'!Print_Titles</vt:lpstr>
      <vt:lpstr>'DT thu 2025'!Print_Titles</vt:lpstr>
      <vt:lpstr>'SC SNGD'!Print_Titles</vt:lpstr>
      <vt:lpstr>'Tổng hợp DT chi huyện xã'!Print_Titles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dangkhoa1988.kt@gmail.com</cp:lastModifiedBy>
  <cp:lastPrinted>2024-11-25T05:55:06Z</cp:lastPrinted>
  <dcterms:created xsi:type="dcterms:W3CDTF">2013-05-13T02:12:59Z</dcterms:created>
  <dcterms:modified xsi:type="dcterms:W3CDTF">2024-11-26T02:49:44Z</dcterms:modified>
</cp:coreProperties>
</file>