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2025 TC\Trình HĐND\ĐTC\Trình HĐND\"/>
    </mc:Choice>
  </mc:AlternateContent>
  <xr:revisionPtr revIDLastSave="0" documentId="13_ncr:1_{F6A2CC8A-2CF9-4D1C-80F9-4240A8D35EA1}" xr6:coauthVersionLast="45" xr6:coauthVersionMax="45" xr10:uidLastSave="{00000000-0000-0000-0000-000000000000}"/>
  <bookViews>
    <workbookView xWindow="-98" yWindow="-98" windowWidth="22695" windowHeight="14595" firstSheet="1" activeTab="1" xr2:uid="{00000000-000D-0000-FFFF-FFFF00000000}"/>
  </bookViews>
  <sheets>
    <sheet name="foxz" sheetId="6" state="hidden" r:id="rId1"/>
    <sheet name="THKP" sheetId="1" r:id="rId2"/>
    <sheet name="HMC" sheetId="2" state="hidden" r:id="rId3"/>
    <sheet name="CBDT" sheetId="3" state="hidden" r:id="rId4"/>
    <sheet name="Tham tra" sheetId="4" state="hidden" r:id="rId5"/>
    <sheet name="Sheet2" sheetId="5" state="hidden" r:id="rId6"/>
    <sheet name="Sheet1" sheetId="7" state="hidden" r:id="rId7"/>
  </sheets>
  <externalReferences>
    <externalReference r:id="rId8"/>
  </externalReferences>
  <definedNames>
    <definedName name="_xlnm.Print_Area" localSheetId="3">CBDT!$A$1:$J$36</definedName>
    <definedName name="_xlnm.Print_Area" localSheetId="5">Sheet2!#REF!</definedName>
    <definedName name="_xlnm.Print_Area" localSheetId="1">THKP!$A$1:$K$54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7" l="1"/>
  <c r="I18" i="1"/>
  <c r="I21" i="1"/>
  <c r="I25" i="1"/>
  <c r="I26" i="1"/>
  <c r="I27" i="1"/>
  <c r="I28" i="1"/>
  <c r="I29" i="1"/>
  <c r="I30" i="1"/>
  <c r="I31" i="1"/>
  <c r="I32" i="1"/>
  <c r="I33" i="1"/>
  <c r="I34" i="1"/>
  <c r="I36" i="1"/>
  <c r="I37" i="1"/>
  <c r="I39" i="1"/>
  <c r="I40" i="1"/>
  <c r="H18" i="1"/>
  <c r="H21" i="1"/>
  <c r="H25" i="1"/>
  <c r="H26" i="1"/>
  <c r="H27" i="1"/>
  <c r="H28" i="1"/>
  <c r="H29" i="1"/>
  <c r="H30" i="1"/>
  <c r="H31" i="1"/>
  <c r="H32" i="1"/>
  <c r="H33" i="1"/>
  <c r="H34" i="1"/>
  <c r="H36" i="1"/>
  <c r="H37" i="1"/>
  <c r="H39" i="1"/>
  <c r="H40" i="1"/>
  <c r="G18" i="1"/>
  <c r="G21" i="1"/>
  <c r="G25" i="1"/>
  <c r="G26" i="1"/>
  <c r="G27" i="1"/>
  <c r="G28" i="1"/>
  <c r="G29" i="1"/>
  <c r="G30" i="1"/>
  <c r="G31" i="1"/>
  <c r="G32" i="1"/>
  <c r="G33" i="1"/>
  <c r="G34" i="1"/>
  <c r="G36" i="1"/>
  <c r="G37" i="1"/>
  <c r="G39" i="1"/>
  <c r="G40" i="1"/>
  <c r="H14" i="3"/>
  <c r="I14" i="3" s="1"/>
  <c r="J14" i="3" s="1"/>
  <c r="I23" i="1" s="1"/>
  <c r="H15" i="3"/>
  <c r="I15" i="3" s="1"/>
  <c r="E15" i="3"/>
  <c r="H24" i="1" l="1"/>
  <c r="J15" i="3"/>
  <c r="I24" i="1" s="1"/>
  <c r="G24" i="1"/>
  <c r="G23" i="1"/>
  <c r="H23" i="1"/>
  <c r="H31" i="3"/>
  <c r="E30" i="3"/>
  <c r="H30" i="3" s="1"/>
  <c r="I31" i="3" l="1"/>
  <c r="I30" i="3"/>
  <c r="J31" i="3" l="1"/>
  <c r="J30" i="3"/>
  <c r="E29" i="3" l="1"/>
  <c r="H29" i="3" s="1"/>
  <c r="G38" i="1" s="1"/>
  <c r="E25" i="3"/>
  <c r="E24" i="3"/>
  <c r="H24" i="3" s="1"/>
  <c r="E23" i="3"/>
  <c r="I24" i="3" l="1"/>
  <c r="I29" i="3"/>
  <c r="H38" i="1" s="1"/>
  <c r="E27" i="3"/>
  <c r="H27" i="3" s="1"/>
  <c r="H28" i="3"/>
  <c r="H26" i="3" l="1"/>
  <c r="G35" i="1" s="1"/>
  <c r="J24" i="3"/>
  <c r="J29" i="3"/>
  <c r="I38" i="1" s="1"/>
  <c r="I28" i="3"/>
  <c r="I27" i="3"/>
  <c r="I26" i="3" l="1"/>
  <c r="H35" i="1" s="1"/>
  <c r="J27" i="3"/>
  <c r="J26" i="3" l="1"/>
  <c r="I35" i="1" s="1"/>
  <c r="L56" i="1"/>
  <c r="G51" i="1" s="1"/>
  <c r="Q44" i="1"/>
  <c r="H25" i="3"/>
  <c r="H23" i="3"/>
  <c r="H21" i="3"/>
  <c r="H22" i="3" l="1"/>
  <c r="I25" i="3"/>
  <c r="I23" i="3"/>
  <c r="I21" i="3"/>
  <c r="J23" i="3" l="1"/>
  <c r="J25" i="3"/>
  <c r="I22" i="3"/>
  <c r="J21" i="3"/>
  <c r="J22" i="3" l="1"/>
  <c r="E20" i="3" l="1"/>
  <c r="H20" i="3" s="1"/>
  <c r="I20" i="3" l="1"/>
  <c r="J20" i="3" l="1"/>
  <c r="H19" i="3" l="1"/>
  <c r="E17" i="3"/>
  <c r="H17" i="3" s="1"/>
  <c r="E18" i="3"/>
  <c r="H18" i="3" s="1"/>
  <c r="E13" i="3"/>
  <c r="H13" i="3" s="1"/>
  <c r="G22" i="1" s="1"/>
  <c r="E12" i="3"/>
  <c r="H12" i="3" s="1"/>
  <c r="E10" i="3"/>
  <c r="H10" i="3" s="1"/>
  <c r="G19" i="1" s="1"/>
  <c r="E9" i="3"/>
  <c r="D11" i="3"/>
  <c r="D16" i="3"/>
  <c r="D8" i="3"/>
  <c r="I19" i="3" l="1"/>
  <c r="H16" i="3"/>
  <c r="I18" i="3"/>
  <c r="I10" i="3"/>
  <c r="H19" i="1" s="1"/>
  <c r="I13" i="3"/>
  <c r="H22" i="1" s="1"/>
  <c r="H9" i="3"/>
  <c r="I17" i="3"/>
  <c r="I12" i="3"/>
  <c r="H11" i="3"/>
  <c r="G20" i="1" s="1"/>
  <c r="J19" i="3" l="1"/>
  <c r="G11" i="3"/>
  <c r="J18" i="3"/>
  <c r="J10" i="3"/>
  <c r="I19" i="1" s="1"/>
  <c r="J13" i="3"/>
  <c r="I22" i="1" s="1"/>
  <c r="I11" i="3"/>
  <c r="H20" i="1" s="1"/>
  <c r="J12" i="3"/>
  <c r="J17" i="3"/>
  <c r="I16" i="3"/>
  <c r="H8" i="3"/>
  <c r="I9" i="3"/>
  <c r="G17" i="1" l="1"/>
  <c r="G16" i="1" s="1"/>
  <c r="H7" i="3"/>
  <c r="J16" i="3"/>
  <c r="J11" i="3"/>
  <c r="I20" i="1" s="1"/>
  <c r="I8" i="3"/>
  <c r="J9" i="3"/>
  <c r="E9" i="5"/>
  <c r="B36" i="3"/>
  <c r="B35" i="3"/>
  <c r="B34" i="3"/>
  <c r="C35" i="3"/>
  <c r="C34" i="3"/>
  <c r="A2" i="3"/>
  <c r="A3" i="3"/>
  <c r="B2" i="2"/>
  <c r="A44" i="1"/>
  <c r="A45" i="1" s="1"/>
  <c r="A46" i="1" s="1"/>
  <c r="E15" i="5"/>
  <c r="E14" i="5"/>
  <c r="E19" i="5" s="1"/>
  <c r="D34" i="5" s="1"/>
  <c r="H17" i="1" l="1"/>
  <c r="H16" i="1" s="1"/>
  <c r="I7" i="3"/>
  <c r="J8" i="3"/>
  <c r="I17" i="1" l="1"/>
  <c r="I16" i="1" s="1"/>
  <c r="J7" i="3"/>
  <c r="I50" i="1"/>
  <c r="L59" i="1" l="1"/>
  <c r="L58" i="1"/>
  <c r="M54" i="1"/>
  <c r="N56" i="1"/>
  <c r="I51" i="1"/>
  <c r="E17" i="5" l="1"/>
  <c r="G49" i="1"/>
  <c r="G48" i="1" s="1"/>
  <c r="G41" i="1" l="1"/>
  <c r="I41" i="1" s="1"/>
  <c r="D7" i="2"/>
  <c r="G46" i="1"/>
  <c r="G47" i="1"/>
  <c r="D6" i="2"/>
  <c r="G45" i="1"/>
  <c r="G44" i="1"/>
  <c r="N44" i="1"/>
  <c r="P44" i="1" s="1"/>
  <c r="G43" i="1" s="1"/>
  <c r="D24" i="5"/>
  <c r="E6" i="4"/>
  <c r="G42" i="1" l="1"/>
  <c r="D44" i="5"/>
  <c r="D47" i="5" s="1"/>
  <c r="D27" i="5"/>
  <c r="D35" i="5" s="1"/>
  <c r="H35" i="3"/>
  <c r="H45" i="1"/>
  <c r="I45" i="1" s="1"/>
  <c r="I49" i="1"/>
  <c r="I48" i="1" s="1"/>
  <c r="E6" i="2"/>
  <c r="F6" i="2" s="1"/>
  <c r="D8" i="2"/>
  <c r="H43" i="1"/>
  <c r="H36" i="3"/>
  <c r="H34" i="3"/>
  <c r="H44" i="1"/>
  <c r="I44" i="1" s="1"/>
  <c r="H47" i="1"/>
  <c r="I47" i="1" s="1"/>
  <c r="H46" i="1"/>
  <c r="I46" i="1" s="1"/>
  <c r="D26" i="5" s="1"/>
  <c r="D46" i="5" s="1"/>
  <c r="E7" i="4"/>
  <c r="F7" i="4" s="1"/>
  <c r="G7" i="4" s="1"/>
  <c r="D25" i="5"/>
  <c r="D45" i="5" s="1"/>
  <c r="F6" i="4"/>
  <c r="G6" i="4" s="1"/>
  <c r="E7" i="2"/>
  <c r="F7" i="2" s="1"/>
  <c r="I43" i="1" l="1"/>
  <c r="I42" i="1" s="1"/>
  <c r="H42" i="1"/>
  <c r="E16" i="5"/>
  <c r="E9" i="4"/>
  <c r="F9" i="4" s="1"/>
  <c r="G9" i="4" s="1"/>
  <c r="I35" i="3"/>
  <c r="J35" i="3" s="1"/>
  <c r="F8" i="2"/>
  <c r="I34" i="3"/>
  <c r="H33" i="3"/>
  <c r="E8" i="2"/>
  <c r="I36" i="3"/>
  <c r="J36" i="3" s="1"/>
  <c r="E8" i="5" s="1"/>
  <c r="L17" i="1" l="1"/>
  <c r="N60" i="1"/>
  <c r="K9" i="3" s="1"/>
  <c r="I33" i="3"/>
  <c r="D33" i="5"/>
  <c r="D37" i="5" s="1"/>
  <c r="E10" i="5"/>
  <c r="J34" i="3"/>
  <c r="J33" i="3" s="1"/>
  <c r="E8" i="4"/>
  <c r="I53" i="1"/>
  <c r="Q16" i="1"/>
  <c r="M51" i="1"/>
  <c r="K53" i="1" l="1"/>
  <c r="K7" i="3"/>
  <c r="E18" i="5"/>
  <c r="E10" i="4"/>
  <c r="F10" i="4" s="1"/>
  <c r="G10" i="4" s="1"/>
  <c r="Q15" i="1"/>
  <c r="F8" i="4"/>
  <c r="G8" i="4" s="1"/>
  <c r="E11" i="4" l="1"/>
  <c r="F11" i="4" s="1"/>
  <c r="G11" i="4" s="1"/>
</calcChain>
</file>

<file path=xl/sharedStrings.xml><?xml version="1.0" encoding="utf-8"?>
<sst xmlns="http://schemas.openxmlformats.org/spreadsheetml/2006/main" count="373" uniqueCount="260">
  <si>
    <t xml:space="preserve"> TỔNG HỢP DỰ TOÁN XÂY DỰNG CÔNG TRÌNH</t>
  </si>
  <si>
    <t>TT</t>
  </si>
  <si>
    <t>HẠNG MỤC CHI PHÍ</t>
  </si>
  <si>
    <t>TRƯỚC THUẾ</t>
  </si>
  <si>
    <t>THUẾ GTGT</t>
  </si>
  <si>
    <t>SAU THUẾ</t>
  </si>
  <si>
    <t>K.HIỆU</t>
  </si>
  <si>
    <t>CÁCH TÍNH</t>
  </si>
  <si>
    <t>I</t>
  </si>
  <si>
    <t>CHI PHÍ XÂY DỰNG</t>
  </si>
  <si>
    <t>Gxd</t>
  </si>
  <si>
    <t>II</t>
  </si>
  <si>
    <t>CHI PHÍ THIẾT BỊ</t>
  </si>
  <si>
    <t>Gtb</t>
  </si>
  <si>
    <t>CHI PHÍ QUẢN LÝ DỰ ÁN</t>
  </si>
  <si>
    <t>Gqlda</t>
  </si>
  <si>
    <t>III</t>
  </si>
  <si>
    <t>CHI PHÍ TƯ VẤN ĐẦU TƯ XÂY DỰNG</t>
  </si>
  <si>
    <t>Gtv</t>
  </si>
  <si>
    <t>Chi phí lập báo cáo KTKT</t>
  </si>
  <si>
    <t>Gtv1</t>
  </si>
  <si>
    <t>Chi phí thẩm tra thiết kế BVTC</t>
  </si>
  <si>
    <t>Gtv2</t>
  </si>
  <si>
    <t>Gxd*0,258%&gt;=2.000.000</t>
  </si>
  <si>
    <t>Chi phí thẩm tra dự toán công trình</t>
  </si>
  <si>
    <t>Gtv3</t>
  </si>
  <si>
    <t>Gxd*0,25%&gt;=2.000.000</t>
  </si>
  <si>
    <t>Chi phí giám sát thi công xây dựng</t>
  </si>
  <si>
    <t>Gtv4</t>
  </si>
  <si>
    <t>IV</t>
  </si>
  <si>
    <t>CHI PHÍ KHÁC</t>
  </si>
  <si>
    <t>Gk</t>
  </si>
  <si>
    <t>Lệ phí thẩm định BC KTKT</t>
  </si>
  <si>
    <t>Gk1</t>
  </si>
  <si>
    <t>Gk2</t>
  </si>
  <si>
    <t>Chi phí thẩm tra phê duyệt quyết toán</t>
  </si>
  <si>
    <t>V</t>
  </si>
  <si>
    <t>CHI PHÍ DỰ PHÒNG</t>
  </si>
  <si>
    <t>Gdp</t>
  </si>
  <si>
    <t>TỔNG CỘNG</t>
  </si>
  <si>
    <t>TMĐT</t>
  </si>
  <si>
    <t xml:space="preserve">                           </t>
  </si>
  <si>
    <t xml:space="preserve">       GIÁM ĐỐC</t>
  </si>
  <si>
    <t>TỔNG HỢP DỰ TOÁN CHI PHÍ HẠNG MỤC CHUNG</t>
  </si>
  <si>
    <t>Đơn vị tính : đồng</t>
  </si>
  <si>
    <t>STT</t>
  </si>
  <si>
    <t>KHOẢN MỤC CHI PHÍ</t>
  </si>
  <si>
    <t>GIÁ TRỊ TRƯỚC THUẾ</t>
  </si>
  <si>
    <t>GIÁ TRỊ SAU THUẾ</t>
  </si>
  <si>
    <t>KÝ HIỆU</t>
  </si>
  <si>
    <t>[1]</t>
  </si>
  <si>
    <t>[2]</t>
  </si>
  <si>
    <t>[3]</t>
  </si>
  <si>
    <t>[4]</t>
  </si>
  <si>
    <t>[5]</t>
  </si>
  <si>
    <t>[6]</t>
  </si>
  <si>
    <t>1</t>
  </si>
  <si>
    <t>Chi phí xây dựng nhà tạm tại hiện trường để ở và điều hành thi công</t>
  </si>
  <si>
    <t>Cnt=Gxd*1%</t>
  </si>
  <si>
    <t>2</t>
  </si>
  <si>
    <t>Chi phí một số công tác không xác định được khối lượng từ thiết kế</t>
  </si>
  <si>
    <t>Ckkl=Gxd*2,5%</t>
  </si>
  <si>
    <t xml:space="preserve">TỔNG CỘNG   (1 + 2 ) </t>
  </si>
  <si>
    <t>Chmc=Cnt+Ckkl</t>
  </si>
  <si>
    <t>VẬN DỤNG</t>
  </si>
  <si>
    <t xml:space="preserve">KÝ HIỆU </t>
  </si>
  <si>
    <t>QUI MÔ</t>
  </si>
  <si>
    <t>ĐƠN GIÁ</t>
  </si>
  <si>
    <t>THÀNH TIỀN</t>
  </si>
  <si>
    <t>CHI PHÍ 
SAU THUẾ</t>
  </si>
  <si>
    <t>G1</t>
  </si>
  <si>
    <t>G2</t>
  </si>
  <si>
    <t>G1+...+G3</t>
  </si>
  <si>
    <t>Nội dung chi phí</t>
  </si>
  <si>
    <t>Dự toán do tư vấn lập và Chủ đầu tư đề nghị thẩm tra</t>
  </si>
  <si>
    <t>Kết quả thẩm tra</t>
  </si>
  <si>
    <t>Tăng (+) Giảm (-)</t>
  </si>
  <si>
    <t>Chi phí xây dựng</t>
  </si>
  <si>
    <t>Chi phí quản lý dự án</t>
  </si>
  <si>
    <t>Chi phí tư vấn ĐTXD</t>
  </si>
  <si>
    <t>Chi phí khác</t>
  </si>
  <si>
    <t>Chi phí dự phòng</t>
  </si>
  <si>
    <t>Tổng cộng</t>
  </si>
  <si>
    <t xml:space="preserve">                                    CÔNG TY TNHH MTV NGUYÊN KHOA KON TUM</t>
  </si>
  <si>
    <t xml:space="preserve">                           Người lập                                          Người chủ trì                 </t>
  </si>
  <si>
    <t>m2</t>
  </si>
  <si>
    <t>Gxd*6,5%&gt;=5.000.000</t>
  </si>
  <si>
    <t>1.Công việc đã thực hiện</t>
  </si>
  <si>
    <t>Nội dung công việc</t>
  </si>
  <si>
    <t>Đơn vị thực hiện</t>
  </si>
  <si>
    <t>Giá trị thực hiện hợp đồng (đồng)</t>
  </si>
  <si>
    <t>Hình thức hợp đồng</t>
  </si>
  <si>
    <t>Thời gian thực hiện hợp đồng</t>
  </si>
  <si>
    <t>Văn bản phê duyệt</t>
  </si>
  <si>
    <t>Tư vấn lập Báo cáo kinh tế-kỹ thuật</t>
  </si>
  <si>
    <t>Công ty TNHH MTV Nguyên Khoa Kon Tum</t>
  </si>
  <si>
    <t>Trọn gói</t>
  </si>
  <si>
    <t>20 ngày</t>
  </si>
  <si>
    <t>Tư vấn thẩm tra thiết kế-dự toán</t>
  </si>
  <si>
    <t>Công ty TNHH Dũng Anh Kon Tum</t>
  </si>
  <si>
    <t>07 ngày</t>
  </si>
  <si>
    <t>2. Phần công việc không áp dụng được một trong các hình thức lựa chọn nhà thầu</t>
  </si>
  <si>
    <t>Giá trị thực hiện (đồng)</t>
  </si>
  <si>
    <t>Lệ phí thẩm định thiết kế BVTC</t>
  </si>
  <si>
    <t>Phòng Kinh tế và Hạ tầng huyện</t>
  </si>
  <si>
    <t>Lệ phí thẩm định dự toán</t>
  </si>
  <si>
    <t>Chi phí thẩm định BC KT-KT</t>
  </si>
  <si>
    <t>Phòng Tài chính-Kế hoạch huyện</t>
  </si>
  <si>
    <t>Chi phí thẩm tra, phê duyệt QT</t>
  </si>
  <si>
    <t>Tổng cộng giá trị thực hiện</t>
  </si>
  <si>
    <t>3.1. Biểu kế hoạch lựa chọn nhà thầu:</t>
  </si>
  <si>
    <t>Tên gói thầu</t>
  </si>
  <si>
    <t>Giá gói thầu (đồng)</t>
  </si>
  <si>
    <t>Nguồn vốn</t>
  </si>
  <si>
    <t>Hình thức lựa chọn nhà thầu</t>
  </si>
  <si>
    <t>Phương thức lựa chọn nhà thầu</t>
  </si>
  <si>
    <t>Thời gian bắt đầu tổ chức lựa chọn nhà thầu</t>
  </si>
  <si>
    <t>Loại hợp đồng</t>
  </si>
  <si>
    <t>Gói thầu xây lắp + hạng mục chung</t>
  </si>
  <si>
    <t xml:space="preserve">Sự nghiệp giáo dục </t>
  </si>
  <si>
    <t>Chỉ định thầu thầu</t>
  </si>
  <si>
    <t>Thương thảo hợp đồng</t>
  </si>
  <si>
    <t>Từ quý IV năm 2018</t>
  </si>
  <si>
    <t>30 ngày</t>
  </si>
  <si>
    <t xml:space="preserve">Gói thầu tư vấn QLDA </t>
  </si>
  <si>
    <t>Theo thời gian thi công</t>
  </si>
  <si>
    <t xml:space="preserve">Gói thầu tư vấn giám sát </t>
  </si>
  <si>
    <t>5. Tổng giá trị các phần công việc:</t>
  </si>
  <si>
    <t>Nội dung</t>
  </si>
  <si>
    <t>Giá trị (đồng)</t>
  </si>
  <si>
    <t>Tổng giá trị phần công việc đã thực hiện</t>
  </si>
  <si>
    <t>Tổng giá trị phần công việc không áp dụng được một trong các hình thức lựa chọn nhà thầu</t>
  </si>
  <si>
    <t xml:space="preserve">Tổng giá trị phần công việc thuộc kế hoạch lựa chọn nhà thầu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</si>
  <si>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Tổng giá trị phần công việc chưa đủ điều kiện lập kế hoạch lựa chọn nhà thầu</t>
  </si>
  <si>
    <t>Tổng giá trị các phần công việc</t>
  </si>
  <si>
    <t>PHỤ LỤC KẾ HOẠCH LỰA CHỌN NHÀ THẦU</t>
  </si>
  <si>
    <t>(Kèm theo Quyết định số        /QĐ-UBND ngày 21 tháng 11  năm 2018 của Ủy ban nhân dân huyện)</t>
  </si>
  <si>
    <t>Giá gói thầu</t>
  </si>
  <si>
    <t>Thời gian lựa chọn nhà thầu</t>
  </si>
  <si>
    <t>Xây lắp + hạng mục chung</t>
  </si>
  <si>
    <t>Chỉ định thầu</t>
  </si>
  <si>
    <t>Thương thảo chỉ định thầu</t>
  </si>
  <si>
    <t>Quý IV năm 2018</t>
  </si>
  <si>
    <t xml:space="preserve">30 ngày </t>
  </si>
  <si>
    <t>Gói thầu tư vấn quản lý dự án</t>
  </si>
  <si>
    <t>Gói thầu tư vấn giám sát</t>
  </si>
  <si>
    <t>Tổng cộng giá các gói thầu:</t>
  </si>
  <si>
    <t>đồng</t>
  </si>
  <si>
    <t xml:space="preserve">QUI MÔ </t>
  </si>
  <si>
    <t>G3</t>
  </si>
  <si>
    <t>TỔNG HỢP DỰ TOÁN CHI PHÍ CHUẨN BỊ ĐẦU TƯ</t>
  </si>
  <si>
    <t>Gxd*3,446%*1,35</t>
  </si>
  <si>
    <t>khái toán</t>
  </si>
  <si>
    <t>1.1</t>
  </si>
  <si>
    <t>3.1</t>
  </si>
  <si>
    <t>4.1</t>
  </si>
  <si>
    <t>4.2</t>
  </si>
  <si>
    <t>5.1</t>
  </si>
  <si>
    <t>ĐỊA ĐIỂM XD: HUYỆN TU MƠ RÔNG - TỈNH KON TUM</t>
  </si>
  <si>
    <t>- Thông tư số 11/2021/TT-BXD ngày 31/8/2021 của Bộ Xây dựng về hướng dẫn xác định và quản lý chi phí đầu tư xây dựng;</t>
  </si>
  <si>
    <t>- Thông tư số 12/2021/TT-BXD ngày 31/8/2021 của Bộ Xây dựng về ban hành định mức xây dựng;</t>
  </si>
  <si>
    <t>- Thông tư 14/2021/TT-BXD ngày 08/09/2021 của Bộ xây dựng về việc Hướng dẫn xác định chi phí bảo trì công trình xây dựng;</t>
  </si>
  <si>
    <t>- Thông tư số 13/2021/TT-BXD ngày 31/8/2021của Bộ Xây dựng hướng dẫn phương pháp xác định các chỉ tiêu kinh tế kỹ thuật và đo bóc khối lượng công trình;</t>
  </si>
  <si>
    <t>- Nghị định số: 10/2021/NĐ-CP ngày 09/02/2021 của Chính phủ về Quản lý chi phí đầu tư xây dựng;</t>
  </si>
  <si>
    <t>Chi phí thẩm định HSMT, kết quả lựa chọn nhà thầu XD (Số: 24/2024/NĐ-CP)</t>
  </si>
  <si>
    <t>Gxd*0,2%&gt;=5.000.000</t>
  </si>
  <si>
    <t>Chi phí lập hồ sơ mời thầu, đánh giá HS DT xây lắp (TT12)</t>
  </si>
  <si>
    <t>Gxd*0,432%</t>
  </si>
  <si>
    <t>Gtv5</t>
  </si>
  <si>
    <t>Chi phí bảo hiểm công trình (TT 329/2016/TT-BTC)</t>
  </si>
  <si>
    <t>Gxd*0,08%</t>
  </si>
  <si>
    <t>Gk=Gk1+...+Gk3</t>
  </si>
  <si>
    <t>THUẾ GTGT
(8%)</t>
  </si>
  <si>
    <t>(TMĐT-DP)*0,57%</t>
  </si>
  <si>
    <t>Gxd*3,285%*1,2</t>
  </si>
  <si>
    <t>Gxd*(0,258%+0,25%)*1,2*80%</t>
  </si>
  <si>
    <t>- Thông báo số 91/TB-SXD ngày 14/10/2024 của Sở Xây dựng về giá vật liệu xây dựng, thiết bị công trình Quý III năm 2024 trên địa bàn tỉnh Kon Tum.</t>
  </si>
  <si>
    <t xml:space="preserve">   Thái Quốc Thịnh                                          Lê Trọng Khiêm</t>
  </si>
  <si>
    <t xml:space="preserve">              Chứng chỉ Hành nghề số: KOT-00130697</t>
  </si>
  <si>
    <t>CT</t>
  </si>
  <si>
    <t>Gxd1+…+Gxd7</t>
  </si>
  <si>
    <t>CHI PHÍ XÂY DỰNG DỰ KIẾN:</t>
  </si>
  <si>
    <t>CHI PHÍ TƯ VẤN ĐẦU TƯ XD DỰ KIẾN</t>
  </si>
  <si>
    <t>THUẾ VAT
(8%)</t>
  </si>
  <si>
    <t>Trường PTDTBT TH-THCS xã Ngọk Lây</t>
  </si>
  <si>
    <t>1.2</t>
  </si>
  <si>
    <t>Trường PTDTBT TH-THCS xã Văn Xuôi</t>
  </si>
  <si>
    <t>Trường mần non xã Ngọk Lây</t>
  </si>
  <si>
    <t>m</t>
  </si>
  <si>
    <t>Trường PTDTBT TH-THCS xã Đăk Rơ Ông</t>
  </si>
  <si>
    <t>Sửa chữa nhà học 03 phòng - Điểm trường thôn Đăk Plò</t>
  </si>
  <si>
    <t>Sửa chữa nhà học 03 phòng - Điểm trường thôn Kon Hia 1</t>
  </si>
  <si>
    <t>5.2</t>
  </si>
  <si>
    <t>6.1</t>
  </si>
  <si>
    <t>Gxd1</t>
  </si>
  <si>
    <t>Gxd2</t>
  </si>
  <si>
    <t>Gxd3</t>
  </si>
  <si>
    <t>Trường mầm non Xã Đăk Hà</t>
  </si>
  <si>
    <t>6.2</t>
  </si>
  <si>
    <t>Sửa chữa phòng học - Điểm trường thôn Ty Tu</t>
  </si>
  <si>
    <t>Cổng, tường rào, sân bê tông - Điểm trường thôn Ty Tu</t>
  </si>
  <si>
    <t>Trường mầm non Xã Đăk Sao</t>
  </si>
  <si>
    <t>Sửa chữa nhà học 02 phòng - Điểm trường thôn Kạch Nhỏ</t>
  </si>
  <si>
    <t>7.1</t>
  </si>
  <si>
    <t>7.2</t>
  </si>
  <si>
    <t>KPTH</t>
  </si>
  <si>
    <t>Trường mần non xã Đăk Rơ Ông</t>
  </si>
  <si>
    <t>HT</t>
  </si>
  <si>
    <t>Gxd*5,146%</t>
  </si>
  <si>
    <t>Gxd7</t>
  </si>
  <si>
    <t>Gxd6</t>
  </si>
  <si>
    <t>Gxd5</t>
  </si>
  <si>
    <t>Gxd4</t>
  </si>
  <si>
    <t>Sửa chữa nhà vệ sinh - Điểm trường thôn Kạch Nhỏ</t>
  </si>
  <si>
    <t>Cổng, tường rào - Điểm trường thôn Kạch Nhỏ</t>
  </si>
  <si>
    <t>7.3</t>
  </si>
  <si>
    <t>Sửa chữa nhà vệ sinh - Điểm trường thôn Kon Hia 1</t>
  </si>
  <si>
    <t>Giếng khoan - Điểm trường thôn Kon Hia 1</t>
  </si>
  <si>
    <t>Sửa chữa nhà học 03 phòng - Điểm trường thôn Kon Hia 2</t>
  </si>
  <si>
    <t>7.4</t>
  </si>
  <si>
    <t>7.5</t>
  </si>
  <si>
    <t>Xây mới nhà vệ sinh - Điểm trường thôn Kon Hia 2</t>
  </si>
  <si>
    <t>6.3</t>
  </si>
  <si>
    <t>CÔNG TRÌNH: CẢI TẠO CÁC ĐIỂM TRƯỜNG, LỚP HỌC TRÊN ĐỊA BÀN HUYỆN</t>
  </si>
  <si>
    <t xml:space="preserve">                                                         Kon Tum, ngày …… tháng ….. năm 2025</t>
  </si>
  <si>
    <t>Sửa chữa nhà học 2 tầng (06 phòng) - Điểm Tiểu học</t>
  </si>
  <si>
    <t>Sửa chữa nhà học 04 phòng - Điểm Tiểu học</t>
  </si>
  <si>
    <t>Sửa chữa nhà học 2 tầng (06 phòng) - Điểm Trung học cơ sở</t>
  </si>
  <si>
    <t>Sửa chữa nhà học 04 phòng - Điểm Trung học cơ sở</t>
  </si>
  <si>
    <t xml:space="preserve"> - Thông tư 09/2024/TT-BXD ngày 30/8/2024 của Bộ Xây dựng Sửa đổi, bổ sung một số định mức xây dựng ban hành tại thông tư số 12/2021/TT-BXD ngày 31/8/2021 của Bộ trưởng Bộ xây dựng;</t>
  </si>
  <si>
    <t>- Quyết định số 905/QĐ-UBND ngày 01/10/2021 của Ủy ban nhân dân tỉnh Kon Tum về việc xếp loại đường để xác định cước vận tải đường bộ trên địa bàn tỉnh Kon Tum;</t>
  </si>
  <si>
    <t>- Công văn số 89/SXD-HĐXD ngày 10/01/2025 của Sở Xây dựng về việc công bố đơn giá nhân công xây dựng, giá ca máy và thiết bị thi công xây dựng tỉnh Kon Tum;</t>
  </si>
  <si>
    <t>Cổng, tường rào - Điểm trường thôn Măng Rương</t>
  </si>
  <si>
    <t>Gxd1.1</t>
  </si>
  <si>
    <t>Gxd1.2</t>
  </si>
  <si>
    <t>Gxd3.1</t>
  </si>
  <si>
    <t>Gxd4.1</t>
  </si>
  <si>
    <t>Gxd4.2</t>
  </si>
  <si>
    <t>Gxd5.1</t>
  </si>
  <si>
    <t>Gxd5.2</t>
  </si>
  <si>
    <t>Gxd6.1</t>
  </si>
  <si>
    <t>Gxd2.1</t>
  </si>
  <si>
    <t>Gxd7.3</t>
  </si>
  <si>
    <t>Gxd2.2</t>
  </si>
  <si>
    <t>Gxd6.2</t>
  </si>
  <si>
    <t>Gxd6.3</t>
  </si>
  <si>
    <t>Gxd7.1</t>
  </si>
  <si>
    <t>Gxd7.2</t>
  </si>
  <si>
    <t>Gxd7.4</t>
  </si>
  <si>
    <t>Gxd7.5</t>
  </si>
  <si>
    <t>Gxd7.1+..+Gxd7.5</t>
  </si>
  <si>
    <t>Gxd6.1+..+Gxd6.3</t>
  </si>
  <si>
    <t>Gxd5.1+Gxd5.2</t>
  </si>
  <si>
    <t>Gxd4.1+Gxd4.2</t>
  </si>
  <si>
    <t>Gxd2.1+Gxd2.2</t>
  </si>
  <si>
    <t>Gxd1.1+Gxd1.2</t>
  </si>
  <si>
    <t>Gxd1+...+Gxd7</t>
  </si>
  <si>
    <t>Dự toán</t>
  </si>
  <si>
    <t>Gtv=Gtv1+...+Gtv4</t>
  </si>
  <si>
    <t>Sửa chữa nhà học 02 phòng - Điểm trường thôn Ty 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</si>
</sst>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\ _€_-;\-* #,##0.0\ _€_-;_-* &quot;-&quot;??\ _€_-;_-@_-"/>
    <numFmt numFmtId="168" formatCode="_-* #,##0\ _€_-;\-* #,##0\ _€_-;_-* &quot;-&quot;??\ _€_-;_-@_-"/>
    <numFmt numFmtId="169" formatCode="0.000%"/>
    <numFmt numFmtId="170" formatCode="0.000"/>
    <numFmt numFmtId="171" formatCode="0.00000"/>
    <numFmt numFmtId="172" formatCode="_-* #,##0\ _₫_-;\-* #,##0\ _₫_-;_-* &quot;-&quot;??\ _₫_-;_-@_-"/>
  </numFmts>
  <fonts count="76">
    <font>
      <sz val="11"/>
      <color theme="1"/>
      <name val="Calibri"/>
      <family val="2"/>
      <charset val="163"/>
      <scheme val="minor"/>
    </font>
    <font>
      <sz val="14"/>
      <name val=".VnTime"/>
      <family val="2"/>
    </font>
    <font>
      <sz val="10"/>
      <name val=".VnArial"/>
      <family val="2"/>
    </font>
    <font>
      <sz val="12"/>
      <name val="Times New Roman"/>
      <family val="1"/>
    </font>
    <font>
      <sz val="10"/>
      <name val="Times New Roman"/>
      <family val="1"/>
    </font>
    <font>
      <sz val="8.25"/>
      <color indexed="9"/>
      <name val="Microsoft Sans Serif"/>
      <family val="2"/>
    </font>
    <font>
      <b/>
      <sz val="12"/>
      <color indexed="8"/>
      <name val="Times New Roman"/>
      <family val="1"/>
    </font>
    <font>
      <sz val="8.25"/>
      <name val="Microsoft Sans Serif"/>
      <family val="2"/>
    </font>
    <font>
      <sz val="8.25"/>
      <name val="Microsoft Sans Serif"/>
      <family val="2"/>
    </font>
    <font>
      <sz val="11"/>
      <color indexed="9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3"/>
      <name val=".VnArial"/>
      <family val="2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sz val="18"/>
      <name val="Times New Roman"/>
      <family val="1"/>
    </font>
    <font>
      <b/>
      <sz val="14"/>
      <color indexed="8"/>
      <name val="Times New Roman"/>
      <family val="1"/>
    </font>
    <font>
      <b/>
      <sz val="15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b/>
      <sz val="11"/>
      <color indexed="32"/>
      <name val="Times New Roman"/>
      <family val="1"/>
    </font>
    <font>
      <sz val="14"/>
      <name val=".VnTime"/>
      <family val="2"/>
    </font>
    <font>
      <b/>
      <sz val="14"/>
      <name val="Times New Roman"/>
      <family val="1"/>
    </font>
    <font>
      <b/>
      <u/>
      <sz val="13"/>
      <name val="Times New Roman"/>
      <family val="1"/>
      <charset val="163"/>
    </font>
    <font>
      <b/>
      <sz val="13"/>
      <color indexed="8"/>
      <name val="Times New Roman"/>
      <family val="1"/>
    </font>
    <font>
      <b/>
      <sz val="16"/>
      <name val="Times New Roman"/>
      <family val="1"/>
    </font>
    <font>
      <b/>
      <sz val="16"/>
      <name val=".VnArialH"/>
      <family val="2"/>
    </font>
    <font>
      <sz val="10"/>
      <name val=".VnArial NarrowH"/>
      <family val="2"/>
    </font>
    <font>
      <sz val="10"/>
      <name val=".VnArialH"/>
      <family val="2"/>
    </font>
    <font>
      <b/>
      <sz val="10"/>
      <name val="Times New Roman"/>
      <family val="1"/>
    </font>
    <font>
      <sz val="9"/>
      <name val=".VnArial"/>
      <family val="2"/>
    </font>
    <font>
      <b/>
      <sz val="10"/>
      <name val=".VnTimeh"/>
      <family val="2"/>
    </font>
    <font>
      <sz val="12"/>
      <name val=".VnTime"/>
      <family val="2"/>
    </font>
    <font>
      <b/>
      <sz val="10"/>
      <name val=".VnTime"/>
      <family val="2"/>
    </font>
    <font>
      <sz val="10"/>
      <name val=".VnTimeH"/>
      <family val="2"/>
    </font>
    <font>
      <i/>
      <sz val="10"/>
      <name val="Times New Roman"/>
      <family val="1"/>
    </font>
    <font>
      <sz val="10"/>
      <name val=".VnArial Narrow"/>
      <family val="2"/>
    </font>
    <font>
      <sz val="10"/>
      <name val=".VnArial"/>
      <family val="2"/>
    </font>
    <font>
      <b/>
      <i/>
      <sz val="9"/>
      <name val=".VnTimeH"/>
      <family val="2"/>
    </font>
    <font>
      <i/>
      <sz val="9"/>
      <name val=".VnTime"/>
      <family val="2"/>
    </font>
    <font>
      <b/>
      <sz val="9"/>
      <name val=".VnTimeH"/>
      <family val="2"/>
    </font>
    <font>
      <i/>
      <sz val="9"/>
      <name val=".VnTimeH"/>
      <family val="2"/>
    </font>
    <font>
      <b/>
      <i/>
      <sz val="12"/>
      <name val=".VnTime"/>
      <family val="2"/>
    </font>
    <font>
      <b/>
      <sz val="13"/>
      <color indexed="12"/>
      <name val="Times New Roman"/>
      <family val="1"/>
    </font>
    <font>
      <sz val="13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sz val="12"/>
      <name val=".VnTime"/>
      <family val="2"/>
    </font>
    <font>
      <sz val="8"/>
      <name val="Arial"/>
      <family val="2"/>
      <charset val="163"/>
    </font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4"/>
      <color theme="1"/>
      <name val="Times New Roman"/>
      <family val="1"/>
    </font>
    <font>
      <b/>
      <i/>
      <sz val="10"/>
      <name val="Times New Roman"/>
      <family val="1"/>
    </font>
    <font>
      <b/>
      <sz val="10"/>
      <name val=".VnArial Narrow"/>
      <family val="2"/>
    </font>
    <font>
      <b/>
      <sz val="9"/>
      <name val=".VnArial"/>
      <family val="2"/>
    </font>
    <font>
      <b/>
      <i/>
      <sz val="13"/>
      <name val="Times New Roman"/>
      <family val="1"/>
    </font>
    <font>
      <b/>
      <sz val="13"/>
      <name val="Times New Roman"/>
      <family val="1"/>
    </font>
    <font>
      <sz val="13"/>
      <color rgb="FFFF0000"/>
      <name val="Times New Roman"/>
      <family val="1"/>
    </font>
    <font>
      <i/>
      <sz val="13"/>
      <name val="Times New Roman"/>
      <family val="1"/>
    </font>
    <font>
      <sz val="13"/>
      <color indexed="10"/>
      <name val="Times New Roman"/>
      <family val="1"/>
    </font>
    <font>
      <b/>
      <i/>
      <sz val="13"/>
      <color indexed="10"/>
      <name val="Times New Roman"/>
      <family val="1"/>
    </font>
    <font>
      <b/>
      <sz val="13"/>
      <color rgb="FFFF0000"/>
      <name val="Times New Roman"/>
      <family val="1"/>
    </font>
    <font>
      <sz val="13"/>
      <color theme="1"/>
      <name val="Calibri"/>
      <family val="2"/>
      <charset val="163"/>
      <scheme val="minor"/>
    </font>
    <font>
      <b/>
      <sz val="13"/>
      <name val=".VnTime"/>
      <family val="2"/>
    </font>
    <font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b/>
      <i/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2">
    <xf numFmtId="0" fontId="0" fillId="0" borderId="0"/>
    <xf numFmtId="165" fontId="50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>
      <protection locked="0"/>
    </xf>
    <xf numFmtId="1" fontId="2" fillId="0" borderId="0"/>
    <xf numFmtId="0" fontId="11" fillId="0" borderId="0"/>
    <xf numFmtId="0" fontId="38" fillId="0" borderId="0"/>
    <xf numFmtId="0" fontId="1" fillId="0" borderId="0"/>
    <xf numFmtId="0" fontId="22" fillId="0" borderId="0"/>
    <xf numFmtId="1" fontId="2" fillId="0" borderId="0"/>
    <xf numFmtId="0" fontId="33" fillId="0" borderId="0"/>
    <xf numFmtId="9" fontId="2" fillId="0" borderId="0" applyFont="0" applyFill="0" applyBorder="0" applyAlignment="0" applyProtection="0"/>
  </cellStyleXfs>
  <cellXfs count="305">
    <xf numFmtId="0" fontId="0" fillId="0" borderId="0" xfId="0"/>
    <xf numFmtId="3" fontId="3" fillId="0" borderId="0" xfId="9" applyNumberFormat="1" applyFont="1"/>
    <xf numFmtId="1" fontId="4" fillId="0" borderId="0" xfId="9" applyFont="1"/>
    <xf numFmtId="0" fontId="5" fillId="0" borderId="0" xfId="0" applyFont="1" applyAlignment="1">
      <alignment vertical="top"/>
    </xf>
    <xf numFmtId="49" fontId="6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top"/>
      <protection locked="0"/>
    </xf>
    <xf numFmtId="1" fontId="10" fillId="0" borderId="0" xfId="9" applyFont="1" applyAlignment="1">
      <alignment vertical="top"/>
    </xf>
    <xf numFmtId="49" fontId="20" fillId="0" borderId="2" xfId="9" applyNumberFormat="1" applyFont="1" applyBorder="1" applyAlignment="1">
      <alignment horizontal="center" vertical="center" wrapText="1"/>
    </xf>
    <xf numFmtId="49" fontId="10" fillId="0" borderId="2" xfId="9" applyNumberFormat="1" applyFont="1" applyBorder="1" applyAlignment="1">
      <alignment horizontal="center" vertical="top" wrapText="1"/>
    </xf>
    <xf numFmtId="49" fontId="10" fillId="0" borderId="2" xfId="9" applyNumberFormat="1" applyFont="1" applyBorder="1" applyAlignment="1">
      <alignment vertical="top" wrapText="1"/>
    </xf>
    <xf numFmtId="3" fontId="10" fillId="0" borderId="2" xfId="9" applyNumberFormat="1" applyFont="1" applyBorder="1" applyAlignment="1">
      <alignment vertical="top" wrapText="1"/>
    </xf>
    <xf numFmtId="49" fontId="21" fillId="0" borderId="2" xfId="9" applyNumberFormat="1" applyFont="1" applyBorder="1" applyAlignment="1">
      <alignment horizontal="center" vertical="center" wrapText="1"/>
    </xf>
    <xf numFmtId="49" fontId="20" fillId="0" borderId="2" xfId="9" applyNumberFormat="1" applyFont="1" applyBorder="1" applyAlignment="1">
      <alignment horizontal="left" vertical="center" wrapText="1"/>
    </xf>
    <xf numFmtId="3" fontId="20" fillId="0" borderId="2" xfId="9" applyNumberFormat="1" applyFont="1" applyBorder="1" applyAlignment="1">
      <alignment vertical="center" wrapText="1"/>
    </xf>
    <xf numFmtId="1" fontId="2" fillId="0" borderId="0" xfId="9"/>
    <xf numFmtId="0" fontId="28" fillId="0" borderId="0" xfId="0" applyFont="1" applyAlignment="1">
      <alignment horizontal="left"/>
    </xf>
    <xf numFmtId="0" fontId="28" fillId="0" borderId="0" xfId="0" applyFont="1"/>
    <xf numFmtId="0" fontId="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1" fillId="0" borderId="0" xfId="0" applyFont="1"/>
    <xf numFmtId="166" fontId="30" fillId="0" borderId="2" xfId="0" applyNumberFormat="1" applyFont="1" applyBorder="1" applyAlignment="1">
      <alignment horizontal="center"/>
    </xf>
    <xf numFmtId="166" fontId="34" fillId="0" borderId="2" xfId="0" applyNumberFormat="1" applyFont="1" applyBorder="1" applyAlignment="1">
      <alignment horizontal="center"/>
    </xf>
    <xf numFmtId="0" fontId="10" fillId="0" borderId="3" xfId="5" applyFont="1" applyBorder="1" applyAlignment="1">
      <alignment vertical="center" wrapText="1"/>
    </xf>
    <xf numFmtId="168" fontId="4" fillId="0" borderId="3" xfId="1" applyNumberFormat="1" applyFont="1" applyFill="1" applyBorder="1" applyAlignment="1"/>
    <xf numFmtId="166" fontId="37" fillId="0" borderId="3" xfId="1" applyNumberFormat="1" applyFont="1" applyFill="1" applyBorder="1" applyAlignment="1">
      <alignment horizontal="right"/>
    </xf>
    <xf numFmtId="169" fontId="30" fillId="0" borderId="2" xfId="10" applyNumberFormat="1" applyFont="1" applyBorder="1" applyAlignment="1">
      <alignment horizontal="center"/>
    </xf>
    <xf numFmtId="2" fontId="30" fillId="0" borderId="2" xfId="0" applyNumberFormat="1" applyFont="1" applyBorder="1" applyAlignment="1">
      <alignment horizontal="center"/>
    </xf>
    <xf numFmtId="166" fontId="32" fillId="0" borderId="2" xfId="1" applyNumberFormat="1" applyFont="1" applyBorder="1" applyAlignment="1">
      <alignment horizontal="center"/>
    </xf>
    <xf numFmtId="166" fontId="32" fillId="0" borderId="2" xfId="1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39" fillId="0" borderId="0" xfId="6" applyFont="1" applyAlignment="1">
      <alignment horizontal="center"/>
    </xf>
    <xf numFmtId="0" fontId="39" fillId="0" borderId="0" xfId="6" applyFont="1" applyAlignment="1">
      <alignment horizontal="left" wrapText="1"/>
    </xf>
    <xf numFmtId="0" fontId="40" fillId="0" borderId="0" xfId="6" applyFont="1" applyAlignment="1">
      <alignment horizontal="center"/>
    </xf>
    <xf numFmtId="2" fontId="40" fillId="0" borderId="0" xfId="6" applyNumberFormat="1" applyFont="1" applyAlignment="1">
      <alignment horizontal="center"/>
    </xf>
    <xf numFmtId="166" fontId="41" fillId="0" borderId="0" xfId="1" applyNumberFormat="1" applyFont="1" applyBorder="1"/>
    <xf numFmtId="3" fontId="3" fillId="0" borderId="0" xfId="0" applyNumberFormat="1" applyFont="1" applyAlignment="1">
      <alignment horizontal="right" wrapText="1"/>
    </xf>
    <xf numFmtId="3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42" fillId="0" borderId="0" xfId="6" applyFont="1" applyAlignment="1">
      <alignment horizontal="center"/>
    </xf>
    <xf numFmtId="0" fontId="38" fillId="0" borderId="0" xfId="0" applyFont="1"/>
    <xf numFmtId="166" fontId="41" fillId="0" borderId="0" xfId="0" applyNumberFormat="1" applyFont="1"/>
    <xf numFmtId="0" fontId="43" fillId="0" borderId="0" xfId="0" applyFont="1" applyAlignment="1">
      <alignment horizontal="left"/>
    </xf>
    <xf numFmtId="0" fontId="0" fillId="0" borderId="0" xfId="0" applyAlignment="1">
      <alignment horizontal="center"/>
    </xf>
    <xf numFmtId="1" fontId="38" fillId="0" borderId="0" xfId="0" applyNumberFormat="1" applyFont="1"/>
    <xf numFmtId="3" fontId="12" fillId="0" borderId="0" xfId="0" applyNumberFormat="1" applyFont="1"/>
    <xf numFmtId="3" fontId="44" fillId="0" borderId="0" xfId="0" applyNumberFormat="1" applyFont="1"/>
    <xf numFmtId="164" fontId="31" fillId="0" borderId="0" xfId="1" applyNumberFormat="1" applyFont="1" applyFill="1" applyAlignment="1">
      <alignment horizontal="left"/>
    </xf>
    <xf numFmtId="0" fontId="35" fillId="0" borderId="3" xfId="0" applyFont="1" applyBorder="1" applyAlignment="1">
      <alignment horizontal="center" vertical="center"/>
    </xf>
    <xf numFmtId="0" fontId="4" fillId="0" borderId="3" xfId="6" applyFont="1" applyBorder="1" applyAlignment="1">
      <alignment horizontal="center" vertical="center"/>
    </xf>
    <xf numFmtId="0" fontId="4" fillId="0" borderId="3" xfId="6" applyFont="1" applyBorder="1" applyAlignment="1">
      <alignment horizontal="center" wrapText="1"/>
    </xf>
    <xf numFmtId="2" fontId="4" fillId="0" borderId="3" xfId="6" applyNumberFormat="1" applyFont="1" applyBorder="1" applyAlignment="1">
      <alignment horizontal="center"/>
    </xf>
    <xf numFmtId="0" fontId="4" fillId="0" borderId="1" xfId="6" applyFont="1" applyBorder="1" applyAlignment="1">
      <alignment horizontal="center" vertical="center"/>
    </xf>
    <xf numFmtId="0" fontId="4" fillId="0" borderId="1" xfId="6" applyFont="1" applyBorder="1" applyAlignment="1">
      <alignment horizontal="center"/>
    </xf>
    <xf numFmtId="2" fontId="4" fillId="0" borderId="1" xfId="6" applyNumberFormat="1" applyFont="1" applyBorder="1" applyAlignment="1">
      <alignment horizontal="center"/>
    </xf>
    <xf numFmtId="166" fontId="37" fillId="0" borderId="1" xfId="1" applyNumberFormat="1" applyFont="1" applyFill="1" applyBorder="1" applyAlignment="1">
      <alignment horizontal="right"/>
    </xf>
    <xf numFmtId="0" fontId="4" fillId="0" borderId="4" xfId="6" applyFont="1" applyBorder="1" applyAlignment="1">
      <alignment horizontal="center" vertical="center"/>
    </xf>
    <xf numFmtId="0" fontId="4" fillId="0" borderId="4" xfId="6" applyFont="1" applyBorder="1" applyAlignment="1">
      <alignment horizontal="center"/>
    </xf>
    <xf numFmtId="2" fontId="4" fillId="0" borderId="4" xfId="6" applyNumberFormat="1" applyFont="1" applyBorder="1" applyAlignment="1">
      <alignment horizontal="center"/>
    </xf>
    <xf numFmtId="166" fontId="37" fillId="0" borderId="4" xfId="1" applyNumberFormat="1" applyFont="1" applyFill="1" applyBorder="1" applyAlignment="1">
      <alignment horizontal="right"/>
    </xf>
    <xf numFmtId="0" fontId="51" fillId="0" borderId="2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 vertical="center" wrapText="1"/>
    </xf>
    <xf numFmtId="0" fontId="52" fillId="0" borderId="0" xfId="0" applyFont="1"/>
    <xf numFmtId="0" fontId="53" fillId="0" borderId="2" xfId="0" applyFont="1" applyBorder="1" applyAlignment="1">
      <alignment horizontal="center" vertical="center"/>
    </xf>
    <xf numFmtId="0" fontId="53" fillId="0" borderId="2" xfId="0" applyFont="1" applyBorder="1"/>
    <xf numFmtId="3" fontId="53" fillId="0" borderId="2" xfId="0" applyNumberFormat="1" applyFont="1" applyBorder="1"/>
    <xf numFmtId="3" fontId="53" fillId="0" borderId="2" xfId="0" applyNumberFormat="1" applyFont="1" applyBorder="1" applyAlignment="1">
      <alignment horizontal="center" vertical="center"/>
    </xf>
    <xf numFmtId="0" fontId="51" fillId="0" borderId="2" xfId="0" applyFont="1" applyBorder="1"/>
    <xf numFmtId="3" fontId="51" fillId="0" borderId="2" xfId="0" applyNumberFormat="1" applyFont="1" applyBorder="1"/>
    <xf numFmtId="3" fontId="51" fillId="0" borderId="2" xfId="0" applyNumberFormat="1" applyFont="1" applyBorder="1" applyAlignment="1">
      <alignment horizontal="center" vertical="center"/>
    </xf>
    <xf numFmtId="1" fontId="4" fillId="0" borderId="0" xfId="9" applyFont="1" applyAlignment="1">
      <alignment horizontal="center"/>
    </xf>
    <xf numFmtId="0" fontId="54" fillId="0" borderId="0" xfId="0" applyFont="1" applyAlignment="1">
      <alignment horizontal="left" vertical="center"/>
    </xf>
    <xf numFmtId="0" fontId="54" fillId="0" borderId="0" xfId="0" applyFont="1" applyAlignment="1">
      <alignment horizontal="center" vertical="center"/>
    </xf>
    <xf numFmtId="0" fontId="55" fillId="0" borderId="2" xfId="0" applyFont="1" applyBorder="1" applyAlignment="1">
      <alignment horizontal="center" vertical="center" wrapText="1"/>
    </xf>
    <xf numFmtId="1" fontId="45" fillId="0" borderId="2" xfId="9" applyFont="1" applyBorder="1" applyAlignment="1">
      <alignment horizontal="center" vertical="center" wrapText="1"/>
    </xf>
    <xf numFmtId="3" fontId="45" fillId="0" borderId="2" xfId="9" applyNumberFormat="1" applyFont="1" applyBorder="1" applyAlignment="1">
      <alignment horizontal="center" vertical="center" wrapText="1"/>
    </xf>
    <xf numFmtId="1" fontId="4" fillId="0" borderId="0" xfId="9" applyFont="1" applyAlignment="1">
      <alignment wrapText="1"/>
    </xf>
    <xf numFmtId="0" fontId="55" fillId="0" borderId="2" xfId="0" applyFont="1" applyBorder="1" applyAlignment="1">
      <alignment horizontal="center" vertical="center"/>
    </xf>
    <xf numFmtId="1" fontId="45" fillId="0" borderId="2" xfId="9" applyFont="1" applyBorder="1" applyAlignment="1">
      <alignment horizontal="left" vertical="center"/>
    </xf>
    <xf numFmtId="3" fontId="45" fillId="0" borderId="2" xfId="9" applyNumberFormat="1" applyFont="1" applyBorder="1" applyAlignment="1">
      <alignment horizontal="right" vertical="center"/>
    </xf>
    <xf numFmtId="1" fontId="45" fillId="0" borderId="2" xfId="9" applyFont="1" applyBorder="1" applyAlignment="1">
      <alignment horizontal="center" vertical="center"/>
    </xf>
    <xf numFmtId="3" fontId="23" fillId="0" borderId="2" xfId="9" applyNumberFormat="1" applyFont="1" applyBorder="1"/>
    <xf numFmtId="1" fontId="46" fillId="0" borderId="2" xfId="9" applyFont="1" applyBorder="1"/>
    <xf numFmtId="3" fontId="46" fillId="0" borderId="2" xfId="9" applyNumberFormat="1" applyFont="1" applyBorder="1"/>
    <xf numFmtId="1" fontId="46" fillId="0" borderId="0" xfId="9" applyFont="1"/>
    <xf numFmtId="3" fontId="46" fillId="0" borderId="0" xfId="9" applyNumberFormat="1" applyFont="1"/>
    <xf numFmtId="0" fontId="56" fillId="0" borderId="2" xfId="0" applyFont="1" applyBorder="1" applyAlignment="1">
      <alignment horizontal="center" vertical="center" wrapText="1"/>
    </xf>
    <xf numFmtId="0" fontId="55" fillId="0" borderId="2" xfId="0" applyFont="1" applyBorder="1" applyAlignment="1">
      <alignment vertical="center" wrapText="1"/>
    </xf>
    <xf numFmtId="3" fontId="57" fillId="0" borderId="2" xfId="0" applyNumberFormat="1" applyFont="1" applyBorder="1" applyAlignment="1">
      <alignment horizontal="right" vertical="center" wrapText="1"/>
    </xf>
    <xf numFmtId="0" fontId="54" fillId="0" borderId="0" xfId="0" applyFont="1"/>
    <xf numFmtId="0" fontId="54" fillId="0" borderId="2" xfId="0" applyFont="1" applyBorder="1" applyAlignment="1">
      <alignment horizontal="center" vertical="center" wrapText="1"/>
    </xf>
    <xf numFmtId="0" fontId="57" fillId="0" borderId="2" xfId="0" applyFont="1" applyBorder="1" applyAlignment="1">
      <alignment vertical="center" wrapText="1"/>
    </xf>
    <xf numFmtId="3" fontId="55" fillId="0" borderId="2" xfId="0" applyNumberFormat="1" applyFont="1" applyBorder="1" applyAlignment="1">
      <alignment horizontal="right" vertical="center" wrapText="1"/>
    </xf>
    <xf numFmtId="3" fontId="56" fillId="0" borderId="2" xfId="0" applyNumberFormat="1" applyFont="1" applyBorder="1" applyAlignment="1">
      <alignment horizontal="right" vertical="center" wrapText="1"/>
    </xf>
    <xf numFmtId="0" fontId="53" fillId="0" borderId="2" xfId="0" applyFont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0" xfId="0" applyFont="1" applyBorder="1" applyAlignment="1">
      <alignment vertical="center" wrapText="1"/>
    </xf>
    <xf numFmtId="3" fontId="58" fillId="0" borderId="10" xfId="0" applyNumberFormat="1" applyFont="1" applyBorder="1" applyAlignment="1">
      <alignment horizontal="right" vertical="center" wrapText="1"/>
    </xf>
    <xf numFmtId="0" fontId="58" fillId="0" borderId="10" xfId="0" applyFont="1" applyBorder="1" applyAlignment="1">
      <alignment horizontal="justify" vertical="center" wrapText="1"/>
    </xf>
    <xf numFmtId="0" fontId="58" fillId="0" borderId="10" xfId="0" applyFont="1" applyBorder="1" applyAlignment="1">
      <alignment horizontal="right" vertical="center" wrapText="1"/>
    </xf>
    <xf numFmtId="3" fontId="54" fillId="0" borderId="10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2" xfId="0" applyFont="1" applyBorder="1" applyAlignment="1">
      <alignment vertical="center"/>
    </xf>
    <xf numFmtId="3" fontId="46" fillId="0" borderId="2" xfId="0" applyNumberFormat="1" applyFont="1" applyBorder="1" applyAlignment="1">
      <alignment horizontal="right" vertical="center"/>
    </xf>
    <xf numFmtId="0" fontId="46" fillId="0" borderId="2" xfId="0" applyFont="1" applyBorder="1" applyAlignment="1">
      <alignment horizontal="center" vertical="center" wrapText="1"/>
    </xf>
    <xf numFmtId="3" fontId="23" fillId="0" borderId="2" xfId="0" applyNumberFormat="1" applyFont="1" applyBorder="1" applyAlignment="1">
      <alignment horizontal="right" vertical="center"/>
    </xf>
    <xf numFmtId="0" fontId="46" fillId="0" borderId="2" xfId="0" applyFont="1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10" fillId="0" borderId="3" xfId="5" applyFont="1" applyBorder="1" applyAlignment="1">
      <alignment horizontal="center" vertical="center" wrapText="1"/>
    </xf>
    <xf numFmtId="170" fontId="48" fillId="2" borderId="2" xfId="0" applyNumberFormat="1" applyFont="1" applyFill="1" applyBorder="1" applyProtection="1">
      <protection locked="0"/>
    </xf>
    <xf numFmtId="170" fontId="48" fillId="2" borderId="5" xfId="0" applyNumberFormat="1" applyFont="1" applyFill="1" applyBorder="1" applyProtection="1">
      <protection locked="0"/>
    </xf>
    <xf numFmtId="3" fontId="3" fillId="2" borderId="0" xfId="9" applyNumberFormat="1" applyFont="1" applyFill="1"/>
    <xf numFmtId="1" fontId="4" fillId="2" borderId="0" xfId="9" applyFont="1" applyFill="1"/>
    <xf numFmtId="49" fontId="6" fillId="2" borderId="0" xfId="0" applyNumberFormat="1" applyFont="1" applyFill="1" applyAlignment="1" applyProtection="1">
      <alignment vertical="center"/>
      <protection locked="0"/>
    </xf>
    <xf numFmtId="49" fontId="6" fillId="2" borderId="0" xfId="3" applyNumberFormat="1" applyFont="1" applyFill="1" applyAlignment="1">
      <alignment vertical="center"/>
      <protection locked="0"/>
    </xf>
    <xf numFmtId="0" fontId="0" fillId="2" borderId="0" xfId="0" applyFill="1"/>
    <xf numFmtId="1" fontId="3" fillId="2" borderId="0" xfId="9" applyFont="1" applyFill="1"/>
    <xf numFmtId="1" fontId="13" fillId="2" borderId="0" xfId="9" applyFont="1" applyFill="1"/>
    <xf numFmtId="0" fontId="5" fillId="2" borderId="0" xfId="0" applyFont="1" applyFill="1" applyAlignment="1">
      <alignment vertical="top"/>
    </xf>
    <xf numFmtId="0" fontId="7" fillId="2" borderId="0" xfId="0" applyFont="1" applyFill="1" applyAlignment="1" applyProtection="1">
      <alignment vertical="top"/>
      <protection locked="0"/>
    </xf>
    <xf numFmtId="0" fontId="9" fillId="2" borderId="0" xfId="3" applyFont="1" applyFill="1" applyAlignment="1" applyProtection="1">
      <alignment vertical="top"/>
    </xf>
    <xf numFmtId="0" fontId="10" fillId="2" borderId="0" xfId="3" applyFont="1" applyFill="1" applyAlignment="1">
      <alignment vertical="top"/>
      <protection locked="0"/>
    </xf>
    <xf numFmtId="1" fontId="23" fillId="2" borderId="0" xfId="8" applyNumberFormat="1" applyFont="1" applyFill="1" applyAlignment="1">
      <alignment horizontal="center"/>
    </xf>
    <xf numFmtId="0" fontId="24" fillId="2" borderId="0" xfId="4" applyNumberFormat="1" applyFont="1" applyFill="1" applyAlignment="1">
      <alignment horizontal="left"/>
    </xf>
    <xf numFmtId="0" fontId="23" fillId="2" borderId="0" xfId="8" applyFont="1" applyFill="1" applyAlignment="1">
      <alignment horizontal="center"/>
    </xf>
    <xf numFmtId="1" fontId="23" fillId="2" borderId="0" xfId="8" applyNumberFormat="1" applyFont="1" applyFill="1" applyAlignment="1">
      <alignment horizontal="center" vertical="center"/>
    </xf>
    <xf numFmtId="0" fontId="10" fillId="2" borderId="0" xfId="3" applyFont="1" applyFill="1" applyAlignment="1">
      <alignment vertical="center"/>
      <protection locked="0"/>
    </xf>
    <xf numFmtId="3" fontId="0" fillId="2" borderId="0" xfId="0" applyNumberFormat="1" applyFill="1"/>
    <xf numFmtId="49" fontId="17" fillId="2" borderId="0" xfId="3" applyNumberFormat="1" applyFont="1" applyFill="1" applyAlignment="1">
      <alignment horizontal="center" vertical="center"/>
      <protection locked="0"/>
    </xf>
    <xf numFmtId="0" fontId="3" fillId="2" borderId="0" xfId="7" applyFont="1" applyFill="1"/>
    <xf numFmtId="0" fontId="14" fillId="2" borderId="0" xfId="7" applyFont="1" applyFill="1"/>
    <xf numFmtId="3" fontId="3" fillId="2" borderId="0" xfId="7" applyNumberFormat="1" applyFont="1" applyFill="1"/>
    <xf numFmtId="3" fontId="3" fillId="2" borderId="0" xfId="7" applyNumberFormat="1" applyFont="1" applyFill="1" applyAlignment="1">
      <alignment horizontal="center"/>
    </xf>
    <xf numFmtId="10" fontId="3" fillId="2" borderId="0" xfId="11" applyNumberFormat="1" applyFont="1" applyFill="1" applyBorder="1"/>
    <xf numFmtId="3" fontId="12" fillId="2" borderId="0" xfId="7" applyNumberFormat="1" applyFont="1" applyFill="1"/>
    <xf numFmtId="164" fontId="3" fillId="2" borderId="0" xfId="2" applyFont="1" applyFill="1" applyBorder="1"/>
    <xf numFmtId="0" fontId="15" fillId="2" borderId="0" xfId="5" applyFont="1" applyFill="1" applyAlignment="1">
      <alignment vertical="center"/>
    </xf>
    <xf numFmtId="0" fontId="3" fillId="2" borderId="0" xfId="5" applyFont="1" applyFill="1" applyAlignment="1">
      <alignment vertical="center"/>
    </xf>
    <xf numFmtId="3" fontId="14" fillId="2" borderId="0" xfId="7" applyNumberFormat="1" applyFont="1" applyFill="1" applyAlignment="1">
      <alignment horizontal="center"/>
    </xf>
    <xf numFmtId="0" fontId="14" fillId="2" borderId="0" xfId="7" applyFont="1" applyFill="1" applyAlignment="1">
      <alignment horizontal="center"/>
    </xf>
    <xf numFmtId="0" fontId="30" fillId="0" borderId="2" xfId="0" applyFont="1" applyBorder="1" applyAlignment="1">
      <alignment horizontal="left" vertical="center"/>
    </xf>
    <xf numFmtId="0" fontId="30" fillId="0" borderId="2" xfId="0" applyFont="1" applyBorder="1" applyAlignment="1">
      <alignment vertical="center"/>
    </xf>
    <xf numFmtId="0" fontId="4" fillId="0" borderId="3" xfId="6" applyFont="1" applyBorder="1" applyAlignment="1">
      <alignment vertical="center" wrapText="1"/>
    </xf>
    <xf numFmtId="0" fontId="4" fillId="0" borderId="1" xfId="6" applyFont="1" applyBorder="1" applyAlignment="1">
      <alignment vertical="center" wrapText="1"/>
    </xf>
    <xf numFmtId="0" fontId="4" fillId="0" borderId="4" xfId="6" applyFont="1" applyBorder="1" applyAlignment="1">
      <alignment vertical="center" wrapText="1"/>
    </xf>
    <xf numFmtId="0" fontId="30" fillId="0" borderId="2" xfId="10" applyFont="1" applyBorder="1" applyAlignment="1">
      <alignment horizontal="center" vertical="center"/>
    </xf>
    <xf numFmtId="2" fontId="36" fillId="0" borderId="3" xfId="0" applyNumberFormat="1" applyFont="1" applyBorder="1" applyAlignment="1">
      <alignment horizontal="center" vertical="center"/>
    </xf>
    <xf numFmtId="166" fontId="37" fillId="0" borderId="3" xfId="1" applyNumberFormat="1" applyFont="1" applyFill="1" applyBorder="1" applyAlignment="1">
      <alignment horizontal="right" vertical="center"/>
    </xf>
    <xf numFmtId="164" fontId="31" fillId="0" borderId="0" xfId="1" applyNumberFormat="1" applyFont="1" applyFill="1" applyAlignment="1">
      <alignment horizontal="left" vertical="center"/>
    </xf>
    <xf numFmtId="0" fontId="31" fillId="0" borderId="0" xfId="0" applyFont="1" applyAlignment="1">
      <alignment vertical="center"/>
    </xf>
    <xf numFmtId="2" fontId="4" fillId="0" borderId="3" xfId="0" applyNumberFormat="1" applyFont="1" applyBorder="1" applyAlignment="1">
      <alignment horizontal="center"/>
    </xf>
    <xf numFmtId="0" fontId="32" fillId="0" borderId="3" xfId="0" applyFont="1" applyBorder="1" applyAlignment="1">
      <alignment horizontal="center" vertical="center"/>
    </xf>
    <xf numFmtId="0" fontId="20" fillId="0" borderId="3" xfId="5" applyFont="1" applyBorder="1" applyAlignment="1">
      <alignment vertical="center" wrapText="1"/>
    </xf>
    <xf numFmtId="0" fontId="20" fillId="0" borderId="3" xfId="5" applyFont="1" applyBorder="1" applyAlignment="1">
      <alignment horizontal="center" vertical="center" wrapText="1"/>
    </xf>
    <xf numFmtId="2" fontId="59" fillId="0" borderId="3" xfId="0" applyNumberFormat="1" applyFont="1" applyBorder="1" applyAlignment="1">
      <alignment horizontal="center" vertical="center"/>
    </xf>
    <xf numFmtId="166" fontId="60" fillId="0" borderId="3" xfId="1" applyNumberFormat="1" applyFont="1" applyFill="1" applyBorder="1" applyAlignment="1">
      <alignment horizontal="right" vertical="center"/>
    </xf>
    <xf numFmtId="164" fontId="61" fillId="0" borderId="0" xfId="1" applyNumberFormat="1" applyFont="1" applyFill="1" applyAlignment="1">
      <alignment horizontal="left" vertical="center"/>
    </xf>
    <xf numFmtId="0" fontId="61" fillId="0" borderId="0" xfId="0" applyFont="1" applyAlignment="1">
      <alignment vertical="center"/>
    </xf>
    <xf numFmtId="2" fontId="59" fillId="0" borderId="3" xfId="0" applyNumberFormat="1" applyFont="1" applyBorder="1" applyAlignment="1">
      <alignment horizontal="center"/>
    </xf>
    <xf numFmtId="164" fontId="61" fillId="0" borderId="0" xfId="1" applyNumberFormat="1" applyFont="1" applyFill="1" applyAlignment="1">
      <alignment horizontal="left"/>
    </xf>
    <xf numFmtId="0" fontId="61" fillId="0" borderId="0" xfId="0" applyFont="1"/>
    <xf numFmtId="2" fontId="30" fillId="0" borderId="3" xfId="0" applyNumberFormat="1" applyFont="1" applyBorder="1" applyAlignment="1">
      <alignment horizontal="center"/>
    </xf>
    <xf numFmtId="168" fontId="30" fillId="0" borderId="3" xfId="1" applyNumberFormat="1" applyFont="1" applyFill="1" applyBorder="1" applyAlignment="1">
      <alignment horizontal="right" vertical="center"/>
    </xf>
    <xf numFmtId="168" fontId="4" fillId="0" borderId="3" xfId="1" applyNumberFormat="1" applyFont="1" applyFill="1" applyBorder="1" applyAlignment="1">
      <alignment horizontal="right" vertical="center"/>
    </xf>
    <xf numFmtId="166" fontId="30" fillId="0" borderId="5" xfId="0" applyNumberFormat="1" applyFont="1" applyBorder="1" applyAlignment="1">
      <alignment horizontal="center"/>
    </xf>
    <xf numFmtId="166" fontId="30" fillId="0" borderId="9" xfId="0" applyNumberFormat="1" applyFont="1" applyBorder="1" applyAlignment="1">
      <alignment horizontal="center"/>
    </xf>
    <xf numFmtId="166" fontId="60" fillId="0" borderId="15" xfId="1" applyNumberFormat="1" applyFont="1" applyFill="1" applyBorder="1" applyAlignment="1">
      <alignment horizontal="right" vertical="center"/>
    </xf>
    <xf numFmtId="166" fontId="37" fillId="0" borderId="15" xfId="1" applyNumberFormat="1" applyFont="1" applyFill="1" applyBorder="1" applyAlignment="1">
      <alignment horizontal="right" vertical="center"/>
    </xf>
    <xf numFmtId="167" fontId="4" fillId="0" borderId="16" xfId="1" applyNumberFormat="1" applyFont="1" applyFill="1" applyBorder="1" applyAlignment="1">
      <alignment horizontal="left" vertical="center"/>
    </xf>
    <xf numFmtId="167" fontId="30" fillId="0" borderId="16" xfId="1" applyNumberFormat="1" applyFont="1" applyFill="1" applyBorder="1" applyAlignment="1">
      <alignment horizontal="left"/>
    </xf>
    <xf numFmtId="167" fontId="30" fillId="0" borderId="16" xfId="1" applyNumberFormat="1" applyFont="1" applyFill="1" applyBorder="1" applyAlignment="1">
      <alignment horizontal="center"/>
    </xf>
    <xf numFmtId="167" fontId="30" fillId="0" borderId="16" xfId="1" applyNumberFormat="1" applyFont="1" applyFill="1" applyBorder="1" applyAlignment="1">
      <alignment horizontal="left" vertical="center"/>
    </xf>
    <xf numFmtId="2" fontId="30" fillId="0" borderId="5" xfId="0" applyNumberFormat="1" applyFont="1" applyBorder="1" applyAlignment="1">
      <alignment horizontal="center"/>
    </xf>
    <xf numFmtId="2" fontId="30" fillId="0" borderId="12" xfId="0" applyNumberFormat="1" applyFont="1" applyBorder="1" applyAlignment="1">
      <alignment horizontal="center"/>
    </xf>
    <xf numFmtId="2" fontId="30" fillId="0" borderId="9" xfId="0" applyNumberFormat="1" applyFont="1" applyBorder="1" applyAlignment="1">
      <alignment horizontal="center"/>
    </xf>
    <xf numFmtId="2" fontId="4" fillId="0" borderId="15" xfId="6" applyNumberFormat="1" applyFont="1" applyBorder="1" applyAlignment="1">
      <alignment horizontal="center"/>
    </xf>
    <xf numFmtId="2" fontId="4" fillId="0" borderId="16" xfId="6" applyNumberFormat="1" applyFont="1" applyBorder="1" applyAlignment="1">
      <alignment horizontal="center"/>
    </xf>
    <xf numFmtId="2" fontId="4" fillId="0" borderId="17" xfId="6" applyNumberFormat="1" applyFont="1" applyBorder="1" applyAlignment="1">
      <alignment horizontal="center"/>
    </xf>
    <xf numFmtId="2" fontId="4" fillId="0" borderId="18" xfId="6" applyNumberFormat="1" applyFont="1" applyBorder="1" applyAlignment="1">
      <alignment horizontal="center"/>
    </xf>
    <xf numFmtId="2" fontId="4" fillId="0" borderId="19" xfId="6" applyNumberFormat="1" applyFont="1" applyBorder="1" applyAlignment="1">
      <alignment horizontal="center"/>
    </xf>
    <xf numFmtId="2" fontId="4" fillId="0" borderId="20" xfId="6" applyNumberFormat="1" applyFont="1" applyBorder="1" applyAlignment="1">
      <alignment horizontal="center"/>
    </xf>
    <xf numFmtId="3" fontId="62" fillId="2" borderId="0" xfId="9" applyNumberFormat="1" applyFont="1" applyFill="1"/>
    <xf numFmtId="1" fontId="45" fillId="2" borderId="0" xfId="9" applyFont="1" applyFill="1"/>
    <xf numFmtId="3" fontId="45" fillId="2" borderId="0" xfId="9" applyNumberFormat="1" applyFont="1" applyFill="1"/>
    <xf numFmtId="3" fontId="63" fillId="2" borderId="2" xfId="5" applyNumberFormat="1" applyFont="1" applyFill="1" applyBorder="1" applyAlignment="1">
      <alignment vertical="center"/>
    </xf>
    <xf numFmtId="3" fontId="64" fillId="2" borderId="0" xfId="9" applyNumberFormat="1" applyFont="1" applyFill="1"/>
    <xf numFmtId="1" fontId="63" fillId="2" borderId="0" xfId="9" applyFont="1" applyFill="1"/>
    <xf numFmtId="3" fontId="66" fillId="2" borderId="0" xfId="9" applyNumberFormat="1" applyFont="1" applyFill="1"/>
    <xf numFmtId="0" fontId="55" fillId="2" borderId="0" xfId="0" applyFont="1" applyFill="1"/>
    <xf numFmtId="3" fontId="45" fillId="2" borderId="0" xfId="9" applyNumberFormat="1" applyFont="1" applyFill="1" applyAlignment="1">
      <alignment wrapText="1"/>
    </xf>
    <xf numFmtId="170" fontId="63" fillId="2" borderId="2" xfId="0" applyNumberFormat="1" applyFont="1" applyFill="1" applyBorder="1" applyProtection="1">
      <protection locked="0"/>
    </xf>
    <xf numFmtId="166" fontId="45" fillId="2" borderId="0" xfId="2" applyNumberFormat="1" applyFont="1" applyFill="1"/>
    <xf numFmtId="3" fontId="67" fillId="2" borderId="0" xfId="9" applyNumberFormat="1" applyFont="1" applyFill="1"/>
    <xf numFmtId="0" fontId="63" fillId="2" borderId="0" xfId="5" applyFont="1" applyFill="1" applyAlignment="1">
      <alignment horizontal="center" vertical="center"/>
    </xf>
    <xf numFmtId="0" fontId="45" fillId="2" borderId="0" xfId="7" applyFont="1" applyFill="1"/>
    <xf numFmtId="172" fontId="45" fillId="2" borderId="0" xfId="1" applyNumberFormat="1" applyFont="1" applyFill="1"/>
    <xf numFmtId="0" fontId="65" fillId="2" borderId="0" xfId="7" applyFont="1" applyFill="1"/>
    <xf numFmtId="3" fontId="45" fillId="2" borderId="0" xfId="7" applyNumberFormat="1" applyFont="1" applyFill="1"/>
    <xf numFmtId="3" fontId="31" fillId="0" borderId="0" xfId="0" applyNumberFormat="1" applyFont="1" applyAlignment="1">
      <alignment horizontal="left"/>
    </xf>
    <xf numFmtId="3" fontId="63" fillId="2" borderId="0" xfId="9" applyNumberFormat="1" applyFont="1" applyFill="1"/>
    <xf numFmtId="3" fontId="68" fillId="2" borderId="0" xfId="9" applyNumberFormat="1" applyFont="1" applyFill="1"/>
    <xf numFmtId="1" fontId="45" fillId="2" borderId="0" xfId="9" applyFont="1" applyFill="1" applyAlignment="1">
      <alignment horizontal="right"/>
    </xf>
    <xf numFmtId="0" fontId="56" fillId="0" borderId="2" xfId="0" applyFont="1" applyBorder="1" applyAlignment="1">
      <alignment vertical="center"/>
    </xf>
    <xf numFmtId="3" fontId="55" fillId="2" borderId="0" xfId="0" applyNumberFormat="1" applyFont="1" applyFill="1"/>
    <xf numFmtId="3" fontId="56" fillId="2" borderId="0" xfId="0" applyNumberFormat="1" applyFont="1" applyFill="1"/>
    <xf numFmtId="0" fontId="69" fillId="2" borderId="0" xfId="0" applyFont="1" applyFill="1"/>
    <xf numFmtId="1" fontId="45" fillId="2" borderId="0" xfId="9" applyFont="1" applyFill="1" applyAlignment="1">
      <alignment wrapText="1"/>
    </xf>
    <xf numFmtId="170" fontId="70" fillId="2" borderId="2" xfId="0" applyNumberFormat="1" applyFont="1" applyFill="1" applyBorder="1" applyProtection="1">
      <protection locked="0"/>
    </xf>
    <xf numFmtId="170" fontId="70" fillId="2" borderId="5" xfId="0" applyNumberFormat="1" applyFont="1" applyFill="1" applyBorder="1" applyProtection="1">
      <protection locked="0"/>
    </xf>
    <xf numFmtId="171" fontId="70" fillId="2" borderId="2" xfId="0" applyNumberFormat="1" applyFont="1" applyFill="1" applyBorder="1" applyProtection="1">
      <protection locked="0"/>
    </xf>
    <xf numFmtId="3" fontId="71" fillId="2" borderId="0" xfId="9" applyNumberFormat="1" applyFont="1" applyFill="1"/>
    <xf numFmtId="1" fontId="72" fillId="2" borderId="0" xfId="9" applyFont="1" applyFill="1"/>
    <xf numFmtId="0" fontId="20" fillId="2" borderId="2" xfId="5" applyFont="1" applyFill="1" applyBorder="1" applyAlignment="1">
      <alignment horizontal="center" vertical="center" wrapText="1"/>
    </xf>
    <xf numFmtId="166" fontId="20" fillId="0" borderId="3" xfId="1" applyNumberFormat="1" applyFont="1" applyFill="1" applyBorder="1" applyAlignment="1">
      <alignment horizontal="center" vertical="center"/>
    </xf>
    <xf numFmtId="3" fontId="20" fillId="2" borderId="2" xfId="5" applyNumberFormat="1" applyFont="1" applyFill="1" applyBorder="1" applyAlignment="1">
      <alignment horizontal="center" vertical="center" wrapText="1"/>
    </xf>
    <xf numFmtId="0" fontId="20" fillId="2" borderId="2" xfId="5" applyFont="1" applyFill="1" applyBorder="1" applyAlignment="1">
      <alignment horizontal="center" vertical="center"/>
    </xf>
    <xf numFmtId="0" fontId="20" fillId="2" borderId="2" xfId="5" applyFont="1" applyFill="1" applyBorder="1" applyAlignment="1">
      <alignment vertical="center"/>
    </xf>
    <xf numFmtId="166" fontId="20" fillId="0" borderId="3" xfId="1" applyNumberFormat="1" applyFont="1" applyFill="1" applyBorder="1" applyAlignment="1">
      <alignment horizontal="right" vertical="center"/>
    </xf>
    <xf numFmtId="3" fontId="20" fillId="2" borderId="2" xfId="5" applyNumberFormat="1" applyFont="1" applyFill="1" applyBorder="1" applyAlignment="1">
      <alignment horizontal="center" vertical="center"/>
    </xf>
    <xf numFmtId="0" fontId="73" fillId="2" borderId="2" xfId="5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2" borderId="2" xfId="5" applyFont="1" applyFill="1" applyBorder="1" applyAlignment="1">
      <alignment vertical="center"/>
    </xf>
    <xf numFmtId="166" fontId="10" fillId="0" borderId="3" xfId="1" applyNumberFormat="1" applyFont="1" applyFill="1" applyBorder="1" applyAlignment="1">
      <alignment horizontal="right" vertical="center"/>
    </xf>
    <xf numFmtId="3" fontId="10" fillId="2" borderId="2" xfId="5" applyNumberFormat="1" applyFont="1" applyFill="1" applyBorder="1" applyAlignment="1">
      <alignment horizontal="center" vertical="center"/>
    </xf>
    <xf numFmtId="0" fontId="19" fillId="2" borderId="2" xfId="5" applyFont="1" applyFill="1" applyBorder="1" applyAlignment="1">
      <alignment horizontal="center" vertical="center"/>
    </xf>
    <xf numFmtId="0" fontId="74" fillId="0" borderId="2" xfId="0" applyFont="1" applyBorder="1" applyAlignment="1">
      <alignment vertical="center"/>
    </xf>
    <xf numFmtId="0" fontId="20" fillId="2" borderId="2" xfId="5" applyFont="1" applyFill="1" applyBorder="1" applyAlignment="1">
      <alignment horizontal="left" vertical="center"/>
    </xf>
    <xf numFmtId="3" fontId="20" fillId="2" borderId="2" xfId="5" applyNumberFormat="1" applyFont="1" applyFill="1" applyBorder="1" applyAlignment="1">
      <alignment vertical="center"/>
    </xf>
    <xf numFmtId="0" fontId="20" fillId="2" borderId="2" xfId="5" applyFont="1" applyFill="1" applyBorder="1" applyAlignment="1">
      <alignment vertical="center" wrapText="1"/>
    </xf>
    <xf numFmtId="3" fontId="20" fillId="2" borderId="2" xfId="5" applyNumberFormat="1" applyFont="1" applyFill="1" applyBorder="1" applyAlignment="1">
      <alignment vertical="center" wrapText="1"/>
    </xf>
    <xf numFmtId="0" fontId="73" fillId="2" borderId="2" xfId="5" applyFont="1" applyFill="1" applyBorder="1" applyAlignment="1">
      <alignment horizontal="center" vertical="center" wrapText="1"/>
    </xf>
    <xf numFmtId="0" fontId="10" fillId="2" borderId="2" xfId="5" applyFont="1" applyFill="1" applyBorder="1" applyAlignment="1">
      <alignment horizontal="center" vertical="center"/>
    </xf>
    <xf numFmtId="3" fontId="10" fillId="2" borderId="2" xfId="5" applyNumberFormat="1" applyFont="1" applyFill="1" applyBorder="1" applyAlignment="1">
      <alignment vertical="center"/>
    </xf>
    <xf numFmtId="0" fontId="10" fillId="2" borderId="2" xfId="5" applyFont="1" applyFill="1" applyBorder="1" applyAlignment="1">
      <alignment vertical="center" wrapText="1"/>
    </xf>
    <xf numFmtId="0" fontId="20" fillId="2" borderId="2" xfId="7" applyFont="1" applyFill="1" applyBorder="1" applyAlignment="1">
      <alignment horizontal="left" vertical="center"/>
    </xf>
    <xf numFmtId="4" fontId="73" fillId="2" borderId="2" xfId="5" applyNumberFormat="1" applyFont="1" applyFill="1" applyBorder="1" applyAlignment="1">
      <alignment horizontal="center" vertical="center"/>
    </xf>
    <xf numFmtId="0" fontId="20" fillId="0" borderId="2" xfId="7" applyFont="1" applyBorder="1" applyAlignment="1">
      <alignment horizontal="center" vertical="center"/>
    </xf>
    <xf numFmtId="0" fontId="20" fillId="0" borderId="2" xfId="5" applyFont="1" applyBorder="1" applyAlignment="1">
      <alignment horizontal="center" vertical="center" wrapText="1"/>
    </xf>
    <xf numFmtId="3" fontId="20" fillId="0" borderId="2" xfId="5" applyNumberFormat="1" applyFont="1" applyBorder="1" applyAlignment="1">
      <alignment horizontal="center" vertical="center" wrapText="1"/>
    </xf>
    <xf numFmtId="0" fontId="20" fillId="0" borderId="2" xfId="5" applyFont="1" applyBorder="1" applyAlignment="1">
      <alignment horizontal="center" vertical="center"/>
    </xf>
    <xf numFmtId="0" fontId="20" fillId="0" borderId="2" xfId="5" applyFont="1" applyBorder="1" applyAlignment="1">
      <alignment vertical="center"/>
    </xf>
    <xf numFmtId="3" fontId="20" fillId="0" borderId="2" xfId="5" applyNumberFormat="1" applyFont="1" applyBorder="1" applyAlignment="1">
      <alignment horizontal="center" vertical="center"/>
    </xf>
    <xf numFmtId="0" fontId="10" fillId="0" borderId="2" xfId="5" applyFont="1" applyBorder="1" applyAlignment="1">
      <alignment vertical="center"/>
    </xf>
    <xf numFmtId="3" fontId="10" fillId="0" borderId="2" xfId="5" applyNumberFormat="1" applyFont="1" applyBorder="1" applyAlignment="1">
      <alignment horizontal="center" vertical="center"/>
    </xf>
    <xf numFmtId="170" fontId="48" fillId="2" borderId="0" xfId="0" applyNumberFormat="1" applyFont="1" applyFill="1" applyProtection="1">
      <protection locked="0"/>
    </xf>
    <xf numFmtId="3" fontId="75" fillId="2" borderId="2" xfId="5" applyNumberFormat="1" applyFont="1" applyFill="1" applyBorder="1" applyAlignment="1">
      <alignment vertical="center"/>
    </xf>
    <xf numFmtId="0" fontId="10" fillId="0" borderId="2" xfId="5" applyFont="1" applyBorder="1" applyAlignment="1">
      <alignment horizontal="center" vertical="center"/>
    </xf>
    <xf numFmtId="3" fontId="0" fillId="0" borderId="0" xfId="0" applyNumberFormat="1"/>
    <xf numFmtId="3" fontId="58" fillId="0" borderId="0" xfId="0" applyNumberFormat="1" applyFont="1" applyAlignment="1">
      <alignment horizontal="right" vertical="center" wrapText="1"/>
    </xf>
    <xf numFmtId="0" fontId="64" fillId="2" borderId="0" xfId="4" quotePrefix="1" applyNumberFormat="1" applyFont="1" applyFill="1" applyAlignment="1">
      <alignment horizontal="left" vertical="center" wrapText="1"/>
    </xf>
    <xf numFmtId="0" fontId="64" fillId="2" borderId="0" xfId="4" applyNumberFormat="1" applyFont="1" applyFill="1" applyAlignment="1">
      <alignment horizontal="left" vertical="center" wrapText="1"/>
    </xf>
    <xf numFmtId="0" fontId="15" fillId="2" borderId="0" xfId="5" applyFont="1" applyFill="1" applyAlignment="1">
      <alignment horizontal="right" vertical="center"/>
    </xf>
    <xf numFmtId="0" fontId="63" fillId="2" borderId="0" xfId="5" applyFont="1" applyFill="1" applyAlignment="1">
      <alignment horizontal="center" vertical="center"/>
    </xf>
    <xf numFmtId="0" fontId="16" fillId="2" borderId="0" xfId="7" applyFont="1" applyFill="1" applyAlignment="1">
      <alignment horizontal="center"/>
    </xf>
    <xf numFmtId="49" fontId="25" fillId="2" borderId="0" xfId="0" applyNumberFormat="1" applyFont="1" applyFill="1" applyAlignment="1" applyProtection="1">
      <alignment horizontal="center" vertical="center" wrapText="1"/>
      <protection locked="0"/>
    </xf>
    <xf numFmtId="49" fontId="25" fillId="2" borderId="0" xfId="0" applyNumberFormat="1" applyFont="1" applyFill="1" applyAlignment="1" applyProtection="1">
      <alignment horizontal="center" vertical="center"/>
      <protection locked="0"/>
    </xf>
    <xf numFmtId="49" fontId="25" fillId="2" borderId="0" xfId="3" applyNumberFormat="1" applyFont="1" applyFill="1" applyAlignment="1">
      <alignment horizontal="center" vertical="center"/>
      <protection locked="0"/>
    </xf>
    <xf numFmtId="0" fontId="65" fillId="2" borderId="0" xfId="5" applyFont="1" applyFill="1" applyAlignment="1">
      <alignment horizontal="center" vertical="center"/>
    </xf>
    <xf numFmtId="3" fontId="63" fillId="2" borderId="0" xfId="7" applyNumberFormat="1" applyFont="1" applyFill="1" applyAlignment="1">
      <alignment horizontal="center"/>
    </xf>
    <xf numFmtId="0" fontId="45" fillId="2" borderId="0" xfId="4" quotePrefix="1" applyNumberFormat="1" applyFont="1" applyFill="1" applyAlignment="1">
      <alignment horizontal="left" vertical="center" wrapText="1"/>
    </xf>
    <xf numFmtId="0" fontId="45" fillId="2" borderId="0" xfId="4" applyNumberFormat="1" applyFont="1" applyFill="1" applyAlignment="1">
      <alignment horizontal="left" vertical="center" wrapText="1"/>
    </xf>
    <xf numFmtId="1" fontId="18" fillId="0" borderId="0" xfId="9" applyFont="1" applyAlignment="1">
      <alignment horizontal="center" vertical="top"/>
    </xf>
    <xf numFmtId="1" fontId="10" fillId="0" borderId="0" xfId="9" applyFont="1" applyAlignment="1">
      <alignment vertical="top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" fontId="19" fillId="0" borderId="0" xfId="9" applyFont="1" applyAlignment="1">
      <alignment horizontal="right"/>
    </xf>
    <xf numFmtId="1" fontId="19" fillId="0" borderId="0" xfId="9" applyFont="1" applyAlignment="1">
      <alignment vertical="top"/>
    </xf>
    <xf numFmtId="166" fontId="60" fillId="0" borderId="5" xfId="1" applyNumberFormat="1" applyFont="1" applyFill="1" applyBorder="1" applyAlignment="1">
      <alignment horizontal="center" vertical="center"/>
    </xf>
    <xf numFmtId="166" fontId="60" fillId="0" borderId="9" xfId="1" applyNumberFormat="1" applyFont="1" applyFill="1" applyBorder="1" applyAlignment="1">
      <alignment horizontal="center" vertical="center"/>
    </xf>
    <xf numFmtId="166" fontId="30" fillId="0" borderId="2" xfId="1" applyNumberFormat="1" applyFont="1" applyBorder="1" applyAlignment="1">
      <alignment horizontal="center" vertical="center" wrapText="1"/>
    </xf>
    <xf numFmtId="2" fontId="30" fillId="0" borderId="2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49" fontId="20" fillId="0" borderId="0" xfId="0" applyNumberFormat="1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30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56" fillId="0" borderId="2" xfId="0" applyFont="1" applyBorder="1" applyAlignment="1">
      <alignment horizontal="center" vertical="center" wrapText="1"/>
    </xf>
    <xf numFmtId="0" fontId="54" fillId="0" borderId="10" xfId="0" applyFont="1" applyBorder="1" applyAlignment="1">
      <alignment horizontal="left" vertical="center" wrapText="1" indent="5"/>
    </xf>
    <xf numFmtId="0" fontId="23" fillId="0" borderId="0" xfId="0" applyFont="1" applyAlignment="1">
      <alignment horizontal="center" vertical="center"/>
    </xf>
    <xf numFmtId="0" fontId="46" fillId="0" borderId="2" xfId="0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46" fillId="0" borderId="7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3" fontId="45" fillId="0" borderId="6" xfId="9" applyNumberFormat="1" applyFont="1" applyBorder="1" applyAlignment="1">
      <alignment horizontal="center"/>
    </xf>
    <xf numFmtId="3" fontId="45" fillId="0" borderId="7" xfId="9" applyNumberFormat="1" applyFont="1" applyBorder="1" applyAlignment="1">
      <alignment horizontal="center"/>
    </xf>
    <xf numFmtId="0" fontId="54" fillId="0" borderId="5" xfId="0" applyFont="1" applyBorder="1" applyAlignment="1">
      <alignment horizontal="center" vertical="center"/>
    </xf>
    <xf numFmtId="0" fontId="54" fillId="0" borderId="8" xfId="0" applyFont="1" applyBorder="1" applyAlignment="1">
      <alignment horizontal="center" vertical="center"/>
    </xf>
    <xf numFmtId="0" fontId="54" fillId="0" borderId="9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/>
    </xf>
    <xf numFmtId="0" fontId="56" fillId="0" borderId="9" xfId="0" applyFont="1" applyBorder="1" applyAlignment="1">
      <alignment horizontal="center"/>
    </xf>
  </cellXfs>
  <cellStyles count="12">
    <cellStyle name="Comma" xfId="1" builtinId="3"/>
    <cellStyle name="Comma_tong hop tuong rao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BuVC" xfId="5" xr:uid="{00000000-0005-0000-0000-000005000000}"/>
    <cellStyle name="Normal_MANGDEN" xfId="6" xr:uid="{00000000-0005-0000-0000-000006000000}"/>
    <cellStyle name="Normal_TKP 1" xfId="7" xr:uid="{00000000-0005-0000-0000-000007000000}"/>
    <cellStyle name="Normal_TKP 1 2" xfId="8" xr:uid="{00000000-0005-0000-0000-000008000000}"/>
    <cellStyle name="Normal_tong hop tuong rao" xfId="9" xr:uid="{00000000-0005-0000-0000-000009000000}"/>
    <cellStyle name="Normal_Tx¸-SThÇy" xfId="10" xr:uid="{00000000-0005-0000-0000-00000A000000}"/>
    <cellStyle name="Percent_tong hop tuong rao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51322</xdr:colOff>
      <xdr:row>57</xdr:row>
      <xdr:rowOff>165062</xdr:rowOff>
    </xdr:from>
    <xdr:to>
      <xdr:col>10</xdr:col>
      <xdr:colOff>729958</xdr:colOff>
      <xdr:row>62</xdr:row>
      <xdr:rowOff>126066</xdr:rowOff>
    </xdr:to>
    <xdr:pic>
      <xdr:nvPicPr>
        <xdr:cNvPr id="6638" name="Picture 3">
          <a:extLst>
            <a:ext uri="{FF2B5EF4-FFF2-40B4-BE49-F238E27FC236}">
              <a16:creationId xmlns:a16="http://schemas.microsoft.com/office/drawing/2014/main" id="{00000000-0008-0000-0100-0000EE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522" y="13823912"/>
          <a:ext cx="2774136" cy="999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2451397</xdr:colOff>
      <xdr:row>57</xdr:row>
      <xdr:rowOff>130884</xdr:rowOff>
    </xdr:from>
    <xdr:to>
      <xdr:col>6</xdr:col>
      <xdr:colOff>868933</xdr:colOff>
      <xdr:row>61</xdr:row>
      <xdr:rowOff>118782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6879" y="13452437"/>
          <a:ext cx="1986131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188259</xdr:colOff>
      <xdr:row>57</xdr:row>
      <xdr:rowOff>11094</xdr:rowOff>
    </xdr:from>
    <xdr:to>
      <xdr:col>1</xdr:col>
      <xdr:colOff>2133600</xdr:colOff>
      <xdr:row>61</xdr:row>
      <xdr:rowOff>129987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741" y="13332647"/>
          <a:ext cx="1945341" cy="96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am%202018\Huyen%20Tu%20Mo%20Rong\Goi%20bo%20sung%202018\Mam%20non\02.%20Truong%20MN%20Dak%20Ro%20Ong\Du%20toan%20Dak%20Ro%20Rong\TH%20KP%20MN%20Dak%20Ro%20O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KP"/>
      <sheetName val="HMC"/>
      <sheetName val="CBDT"/>
      <sheetName val="Tham tra"/>
      <sheetName val="Lua chon nha thau"/>
    </sheetNames>
    <sheetDataSet>
      <sheetData sheetId="0">
        <row r="30">
          <cell r="E30">
            <v>2200000</v>
          </cell>
        </row>
        <row r="31">
          <cell r="E31">
            <v>2200000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view="pageBreakPreview" workbookViewId="0"/>
  </sheetViews>
  <sheetFormatPr defaultRowHeight="14.25"/>
  <sheetData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70"/>
  <sheetViews>
    <sheetView tabSelected="1" topLeftCell="A23" zoomScale="115" zoomScaleNormal="115" workbookViewId="0">
      <selection activeCell="B35" sqref="B35"/>
    </sheetView>
  </sheetViews>
  <sheetFormatPr defaultColWidth="8" defaultRowHeight="15.4"/>
  <cols>
    <col min="1" max="1" width="6.6640625" style="117" customWidth="1"/>
    <col min="2" max="2" width="51.6640625" style="117" customWidth="1"/>
    <col min="3" max="5" width="9.46484375" style="117" hidden="1" customWidth="1"/>
    <col min="6" max="6" width="11.46484375" style="117" hidden="1" customWidth="1"/>
    <col min="7" max="7" width="21.53125" style="117" customWidth="1"/>
    <col min="8" max="8" width="18.33203125" style="117" bestFit="1" customWidth="1"/>
    <col min="9" max="9" width="17.1328125" style="117" customWidth="1"/>
    <col min="10" max="10" width="14.33203125" style="117" customWidth="1"/>
    <col min="11" max="11" width="28.46484375" style="117" bestFit="1" customWidth="1"/>
    <col min="12" max="12" width="18.46484375" style="116" hidden="1" customWidth="1"/>
    <col min="13" max="13" width="18.86328125" style="117" hidden="1" customWidth="1"/>
    <col min="14" max="14" width="17.46484375" style="117" hidden="1" customWidth="1"/>
    <col min="15" max="15" width="16.46484375" style="117" hidden="1" customWidth="1"/>
    <col min="16" max="16" width="9.6640625" style="117" hidden="1" customWidth="1"/>
    <col min="17" max="17" width="14.46484375" style="117" hidden="1" customWidth="1"/>
    <col min="18" max="18" width="0" style="117" hidden="1" customWidth="1"/>
    <col min="19" max="19" width="11.53125" style="117" hidden="1" customWidth="1"/>
    <col min="20" max="20" width="12.53125" style="117" hidden="1" customWidth="1"/>
    <col min="21" max="26" width="0" style="117" hidden="1" customWidth="1"/>
    <col min="27" max="16384" width="8" style="117"/>
  </cols>
  <sheetData>
    <row r="1" spans="1:36" ht="22.5">
      <c r="A1" s="259" t="s">
        <v>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36" s="124" customFormat="1" ht="24.6" customHeight="1">
      <c r="A2" s="123"/>
      <c r="B2" s="260" t="s">
        <v>223</v>
      </c>
      <c r="C2" s="260"/>
      <c r="D2" s="260"/>
      <c r="E2" s="260"/>
      <c r="F2" s="260"/>
      <c r="G2" s="261"/>
      <c r="H2" s="261"/>
      <c r="I2" s="261"/>
      <c r="J2" s="261"/>
      <c r="K2" s="261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</row>
    <row r="3" spans="1:36" s="126" customFormat="1" ht="16.5">
      <c r="A3" s="125"/>
      <c r="B3" s="262" t="s">
        <v>158</v>
      </c>
      <c r="C3" s="262"/>
      <c r="D3" s="262"/>
      <c r="E3" s="262"/>
      <c r="F3" s="262"/>
      <c r="G3" s="262"/>
      <c r="H3" s="262"/>
      <c r="I3" s="262"/>
      <c r="J3" s="262"/>
      <c r="K3" s="262"/>
      <c r="L3" s="119"/>
      <c r="M3" s="119"/>
      <c r="N3" s="119"/>
      <c r="O3" s="119"/>
      <c r="P3" s="119"/>
      <c r="Q3" s="119"/>
      <c r="R3" s="119"/>
    </row>
    <row r="4" spans="1:36" s="126" customFormat="1" ht="17.25" hidden="1">
      <c r="A4" s="127"/>
      <c r="B4" s="128" t="s">
        <v>64</v>
      </c>
      <c r="C4" s="128"/>
      <c r="D4" s="128"/>
      <c r="E4" s="128"/>
      <c r="F4" s="128"/>
      <c r="G4" s="129"/>
      <c r="H4" s="129"/>
      <c r="I4" s="129"/>
      <c r="J4" s="129"/>
      <c r="K4" s="129"/>
      <c r="L4" s="119"/>
      <c r="M4" s="119"/>
      <c r="N4" s="119"/>
      <c r="O4" s="119"/>
      <c r="P4" s="119"/>
      <c r="Q4" s="119"/>
      <c r="R4" s="119"/>
    </row>
    <row r="5" spans="1:36" s="131" customFormat="1" ht="17.25" hidden="1">
      <c r="A5" s="130"/>
      <c r="B5" s="265" t="s">
        <v>159</v>
      </c>
      <c r="C5" s="266"/>
      <c r="D5" s="266"/>
      <c r="E5" s="266"/>
      <c r="F5" s="266"/>
      <c r="G5" s="266"/>
      <c r="H5" s="266"/>
      <c r="I5" s="266"/>
      <c r="J5" s="266"/>
      <c r="K5" s="266"/>
      <c r="L5" s="119"/>
      <c r="M5" s="119"/>
      <c r="N5" s="119"/>
      <c r="O5" s="119"/>
      <c r="P5" s="119"/>
      <c r="Q5" s="119"/>
    </row>
    <row r="6" spans="1:36" s="131" customFormat="1" ht="17.25" hidden="1">
      <c r="A6" s="130"/>
      <c r="B6" s="265" t="s">
        <v>160</v>
      </c>
      <c r="C6" s="266"/>
      <c r="D6" s="266"/>
      <c r="E6" s="266"/>
      <c r="F6" s="266"/>
      <c r="G6" s="266"/>
      <c r="H6" s="266"/>
      <c r="I6" s="266"/>
      <c r="J6" s="266"/>
      <c r="K6" s="266"/>
      <c r="L6" s="119"/>
      <c r="M6" s="119"/>
      <c r="N6" s="119"/>
      <c r="O6" s="119"/>
      <c r="P6" s="119"/>
      <c r="Q6" s="119"/>
    </row>
    <row r="7" spans="1:36" s="131" customFormat="1" ht="17.25" hidden="1">
      <c r="A7" s="130"/>
      <c r="B7" s="265" t="s">
        <v>161</v>
      </c>
      <c r="C7" s="266"/>
      <c r="D7" s="266"/>
      <c r="E7" s="266"/>
      <c r="F7" s="266"/>
      <c r="G7" s="266"/>
      <c r="H7" s="266"/>
      <c r="I7" s="266"/>
      <c r="J7" s="266"/>
      <c r="K7" s="266"/>
      <c r="L7" s="119"/>
      <c r="M7" s="119"/>
      <c r="N7" s="119"/>
      <c r="O7" s="119"/>
      <c r="P7" s="119"/>
      <c r="Q7" s="119"/>
    </row>
    <row r="8" spans="1:36" s="131" customFormat="1" ht="42" hidden="1" customHeight="1">
      <c r="A8" s="130"/>
      <c r="B8" s="265" t="s">
        <v>162</v>
      </c>
      <c r="C8" s="266"/>
      <c r="D8" s="266"/>
      <c r="E8" s="266"/>
      <c r="F8" s="266"/>
      <c r="G8" s="266"/>
      <c r="H8" s="266"/>
      <c r="I8" s="266"/>
      <c r="J8" s="266"/>
      <c r="K8" s="266"/>
      <c r="L8" s="119"/>
      <c r="M8" s="119"/>
      <c r="N8" s="119"/>
      <c r="O8" s="119"/>
      <c r="P8" s="119"/>
      <c r="Q8" s="119"/>
    </row>
    <row r="9" spans="1:36" s="131" customFormat="1" ht="34.25" hidden="1" customHeight="1">
      <c r="A9" s="130"/>
      <c r="B9" s="265" t="s">
        <v>229</v>
      </c>
      <c r="C9" s="265"/>
      <c r="D9" s="265"/>
      <c r="E9" s="265"/>
      <c r="F9" s="265"/>
      <c r="G9" s="265"/>
      <c r="H9" s="265"/>
      <c r="I9" s="265"/>
      <c r="J9" s="265"/>
      <c r="K9" s="265"/>
      <c r="L9" s="119"/>
      <c r="M9" s="119"/>
      <c r="N9" s="119"/>
      <c r="O9" s="119"/>
      <c r="P9" s="119"/>
      <c r="Q9" s="119"/>
    </row>
    <row r="10" spans="1:36" s="131" customFormat="1" ht="17.25" hidden="1">
      <c r="A10" s="130"/>
      <c r="B10" s="265" t="s">
        <v>163</v>
      </c>
      <c r="C10" s="266"/>
      <c r="D10" s="266"/>
      <c r="E10" s="266"/>
      <c r="F10" s="266"/>
      <c r="G10" s="266"/>
      <c r="H10" s="266"/>
      <c r="I10" s="266"/>
      <c r="J10" s="266"/>
      <c r="K10" s="266"/>
      <c r="L10" s="119"/>
      <c r="M10" s="119"/>
      <c r="N10" s="119"/>
      <c r="O10" s="119"/>
      <c r="P10" s="119"/>
      <c r="Q10" s="119"/>
    </row>
    <row r="11" spans="1:36" s="131" customFormat="1" ht="37.25" hidden="1" customHeight="1">
      <c r="A11" s="130"/>
      <c r="B11" s="265" t="s">
        <v>230</v>
      </c>
      <c r="C11" s="266"/>
      <c r="D11" s="266"/>
      <c r="E11" s="266"/>
      <c r="F11" s="266"/>
      <c r="G11" s="266"/>
      <c r="H11" s="266"/>
      <c r="I11" s="266"/>
      <c r="J11" s="266"/>
      <c r="K11" s="266"/>
      <c r="L11" s="120"/>
      <c r="M11" s="120"/>
      <c r="N11" s="120"/>
      <c r="O11" s="120"/>
      <c r="P11" s="120"/>
      <c r="Q11" s="120"/>
      <c r="R11" s="120"/>
      <c r="S11" s="120"/>
    </row>
    <row r="12" spans="1:36" s="131" customFormat="1" ht="33.6" hidden="1" customHeight="1">
      <c r="A12" s="130"/>
      <c r="B12" s="265" t="s">
        <v>176</v>
      </c>
      <c r="C12" s="266"/>
      <c r="D12" s="266"/>
      <c r="E12" s="266"/>
      <c r="F12" s="266"/>
      <c r="G12" s="266"/>
      <c r="H12" s="266"/>
      <c r="I12" s="266"/>
      <c r="J12" s="266"/>
      <c r="K12" s="266"/>
      <c r="L12" s="120">
        <v>3</v>
      </c>
      <c r="M12" s="114"/>
      <c r="N12" s="114">
        <v>4.7</v>
      </c>
      <c r="O12" s="115"/>
      <c r="P12" s="120"/>
      <c r="Q12" s="132"/>
      <c r="R12" s="120"/>
      <c r="S12" s="120"/>
    </row>
    <row r="13" spans="1:36" s="131" customFormat="1" ht="33.6" hidden="1" customHeight="1">
      <c r="A13" s="130"/>
      <c r="B13" s="255" t="s">
        <v>231</v>
      </c>
      <c r="C13" s="256"/>
      <c r="D13" s="256"/>
      <c r="E13" s="256"/>
      <c r="F13" s="256"/>
      <c r="G13" s="256"/>
      <c r="H13" s="256"/>
      <c r="I13" s="256"/>
      <c r="J13" s="256"/>
      <c r="K13" s="256"/>
      <c r="L13" s="120"/>
      <c r="M13" s="250"/>
      <c r="N13" s="250"/>
      <c r="O13" s="250"/>
      <c r="P13" s="120"/>
      <c r="Q13" s="132"/>
      <c r="R13" s="120"/>
      <c r="S13" s="120"/>
    </row>
    <row r="14" spans="1:36" s="126" customFormat="1" ht="17.25">
      <c r="A14" s="125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19"/>
      <c r="M14" s="119"/>
      <c r="N14" s="119"/>
      <c r="O14" s="119"/>
      <c r="P14" s="119"/>
      <c r="Q14" s="119"/>
      <c r="R14" s="119"/>
    </row>
    <row r="15" spans="1:36" s="187" customFormat="1" ht="16.5">
      <c r="A15" s="242" t="s">
        <v>1</v>
      </c>
      <c r="B15" s="243" t="s">
        <v>2</v>
      </c>
      <c r="C15" s="243" t="s">
        <v>148</v>
      </c>
      <c r="D15" s="243"/>
      <c r="E15" s="243"/>
      <c r="F15" s="243" t="s">
        <v>67</v>
      </c>
      <c r="G15" s="218" t="s">
        <v>3</v>
      </c>
      <c r="H15" s="218" t="s">
        <v>172</v>
      </c>
      <c r="I15" s="218" t="s">
        <v>5</v>
      </c>
      <c r="J15" s="244" t="s">
        <v>6</v>
      </c>
      <c r="K15" s="243" t="s">
        <v>7</v>
      </c>
      <c r="L15" s="188"/>
      <c r="Q15" s="208">
        <f>I16+I41+I42+I48+I53</f>
        <v>3300000000</v>
      </c>
    </row>
    <row r="16" spans="1:36" s="187" customFormat="1" ht="16.5">
      <c r="A16" s="245" t="s">
        <v>8</v>
      </c>
      <c r="B16" s="246" t="s">
        <v>9</v>
      </c>
      <c r="C16" s="246"/>
      <c r="D16" s="246"/>
      <c r="E16" s="246"/>
      <c r="F16" s="246"/>
      <c r="G16" s="222">
        <f>G17+G20+G23+G25+G28+G31+G35</f>
        <v>2561652074.0740738</v>
      </c>
      <c r="H16" s="222">
        <f>H17+H20+H23+H25+H28+H31+H35</f>
        <v>204932165.92592591</v>
      </c>
      <c r="I16" s="222">
        <f>I17+I20+I23+I25+I28+I31+I35</f>
        <v>2766584240</v>
      </c>
      <c r="J16" s="247" t="s">
        <v>10</v>
      </c>
      <c r="K16" s="245" t="s">
        <v>256</v>
      </c>
      <c r="L16" s="188"/>
      <c r="M16" s="190"/>
      <c r="Q16" s="208">
        <f>I16+I41+I42+I48</f>
        <v>3191879877.138</v>
      </c>
    </row>
    <row r="17" spans="1:17" s="187" customFormat="1" ht="16.5">
      <c r="A17" s="225">
        <v>1</v>
      </c>
      <c r="B17" s="157" t="s">
        <v>184</v>
      </c>
      <c r="C17" s="246"/>
      <c r="D17" s="246"/>
      <c r="E17" s="246"/>
      <c r="F17" s="246"/>
      <c r="G17" s="222">
        <f>CBDT!H8</f>
        <v>679816000</v>
      </c>
      <c r="H17" s="222">
        <f>CBDT!I8</f>
        <v>54385280</v>
      </c>
      <c r="I17" s="222">
        <f>CBDT!J8</f>
        <v>734201280</v>
      </c>
      <c r="J17" s="247" t="s">
        <v>194</v>
      </c>
      <c r="K17" s="245" t="s">
        <v>255</v>
      </c>
      <c r="L17" s="188">
        <f>I16+I41+I42+I48</f>
        <v>3191879877.138</v>
      </c>
      <c r="M17" s="190"/>
      <c r="Q17" s="208"/>
    </row>
    <row r="18" spans="1:17" s="187" customFormat="1" ht="16.5">
      <c r="A18" s="226" t="s">
        <v>153</v>
      </c>
      <c r="B18" s="23" t="s">
        <v>225</v>
      </c>
      <c r="C18" s="248"/>
      <c r="D18" s="248"/>
      <c r="E18" s="248"/>
      <c r="F18" s="248"/>
      <c r="G18" s="228">
        <f>CBDT!H9</f>
        <v>470988000</v>
      </c>
      <c r="H18" s="228">
        <f>CBDT!I9</f>
        <v>37679040</v>
      </c>
      <c r="I18" s="228">
        <f>CBDT!J9</f>
        <v>508667040</v>
      </c>
      <c r="J18" s="249" t="s">
        <v>233</v>
      </c>
      <c r="K18" s="252" t="s">
        <v>257</v>
      </c>
      <c r="L18" s="188"/>
      <c r="M18" s="190"/>
      <c r="Q18" s="208"/>
    </row>
    <row r="19" spans="1:17" s="187" customFormat="1" ht="16.5">
      <c r="A19" s="226" t="s">
        <v>185</v>
      </c>
      <c r="B19" s="23" t="s">
        <v>226</v>
      </c>
      <c r="C19" s="248"/>
      <c r="D19" s="248"/>
      <c r="E19" s="248"/>
      <c r="F19" s="248"/>
      <c r="G19" s="228">
        <f>CBDT!H10</f>
        <v>208828000.00000003</v>
      </c>
      <c r="H19" s="228">
        <f>CBDT!I10</f>
        <v>16706240.000000002</v>
      </c>
      <c r="I19" s="228">
        <f>CBDT!J10</f>
        <v>225534240.00000003</v>
      </c>
      <c r="J19" s="249" t="s">
        <v>234</v>
      </c>
      <c r="K19" s="252" t="s">
        <v>257</v>
      </c>
      <c r="L19" s="188"/>
      <c r="M19" s="190"/>
      <c r="Q19" s="208"/>
    </row>
    <row r="20" spans="1:17" s="187" customFormat="1" ht="16.5">
      <c r="A20" s="225">
        <v>2</v>
      </c>
      <c r="B20" s="157" t="s">
        <v>186</v>
      </c>
      <c r="C20" s="246"/>
      <c r="D20" s="246"/>
      <c r="E20" s="246"/>
      <c r="F20" s="246"/>
      <c r="G20" s="222">
        <f>CBDT!H11</f>
        <v>551947499.99999988</v>
      </c>
      <c r="H20" s="222">
        <f>CBDT!I11</f>
        <v>44155799.999999993</v>
      </c>
      <c r="I20" s="222">
        <f>CBDT!J11</f>
        <v>596103299.99999988</v>
      </c>
      <c r="J20" s="247" t="s">
        <v>195</v>
      </c>
      <c r="K20" s="245" t="s">
        <v>254</v>
      </c>
      <c r="L20" s="188"/>
      <c r="M20" s="190"/>
      <c r="Q20" s="208"/>
    </row>
    <row r="21" spans="1:17" s="187" customFormat="1" ht="16.5">
      <c r="A21" s="226" t="s">
        <v>153</v>
      </c>
      <c r="B21" s="23" t="s">
        <v>227</v>
      </c>
      <c r="C21" s="248"/>
      <c r="D21" s="248"/>
      <c r="E21" s="248"/>
      <c r="F21" s="248"/>
      <c r="G21" s="228">
        <f>CBDT!H12</f>
        <v>372707999.99999994</v>
      </c>
      <c r="H21" s="228">
        <f>CBDT!I12</f>
        <v>29816639.999999996</v>
      </c>
      <c r="I21" s="228">
        <f>CBDT!J12</f>
        <v>402524639.99999994</v>
      </c>
      <c r="J21" s="249" t="s">
        <v>241</v>
      </c>
      <c r="K21" s="252" t="s">
        <v>257</v>
      </c>
      <c r="L21" s="188"/>
      <c r="M21" s="190"/>
      <c r="Q21" s="208"/>
    </row>
    <row r="22" spans="1:17" s="187" customFormat="1" ht="16.5">
      <c r="A22" s="226" t="s">
        <v>185</v>
      </c>
      <c r="B22" s="23" t="s">
        <v>228</v>
      </c>
      <c r="C22" s="248"/>
      <c r="D22" s="248"/>
      <c r="E22" s="248"/>
      <c r="F22" s="248"/>
      <c r="G22" s="228">
        <f>CBDT!H13</f>
        <v>179239499.99999997</v>
      </c>
      <c r="H22" s="228">
        <f>CBDT!I13</f>
        <v>14339159.999999998</v>
      </c>
      <c r="I22" s="228">
        <f>CBDT!J13</f>
        <v>193578659.99999997</v>
      </c>
      <c r="J22" s="249" t="s">
        <v>243</v>
      </c>
      <c r="K22" s="252" t="s">
        <v>257</v>
      </c>
      <c r="L22" s="188"/>
      <c r="M22" s="190"/>
      <c r="Q22" s="208"/>
    </row>
    <row r="23" spans="1:17" s="187" customFormat="1" ht="16.5">
      <c r="A23" s="225">
        <v>3</v>
      </c>
      <c r="B23" s="157" t="s">
        <v>187</v>
      </c>
      <c r="C23" s="248"/>
      <c r="D23" s="248"/>
      <c r="E23" s="248"/>
      <c r="F23" s="248"/>
      <c r="G23" s="222">
        <f>CBDT!H14</f>
        <v>97545000</v>
      </c>
      <c r="H23" s="222">
        <f>CBDT!I14</f>
        <v>7803600</v>
      </c>
      <c r="I23" s="222">
        <f>CBDT!J14</f>
        <v>105348600</v>
      </c>
      <c r="J23" s="247" t="s">
        <v>196</v>
      </c>
      <c r="K23" s="245" t="s">
        <v>235</v>
      </c>
      <c r="L23" s="188"/>
      <c r="M23" s="190"/>
      <c r="Q23" s="208"/>
    </row>
    <row r="24" spans="1:17" s="187" customFormat="1" ht="16.5">
      <c r="A24" s="226" t="s">
        <v>154</v>
      </c>
      <c r="B24" s="23" t="s">
        <v>232</v>
      </c>
      <c r="C24" s="248"/>
      <c r="D24" s="248"/>
      <c r="E24" s="248"/>
      <c r="F24" s="248"/>
      <c r="G24" s="228">
        <f>CBDT!H15</f>
        <v>97545000</v>
      </c>
      <c r="H24" s="228">
        <f>CBDT!I15</f>
        <v>7803600</v>
      </c>
      <c r="I24" s="228">
        <f>CBDT!J15</f>
        <v>105348600</v>
      </c>
      <c r="J24" s="249" t="s">
        <v>235</v>
      </c>
      <c r="K24" s="252" t="s">
        <v>257</v>
      </c>
      <c r="L24" s="188"/>
      <c r="M24" s="190"/>
      <c r="Q24" s="208"/>
    </row>
    <row r="25" spans="1:17" s="187" customFormat="1" ht="16.5">
      <c r="A25" s="225">
        <v>4</v>
      </c>
      <c r="B25" s="157" t="s">
        <v>189</v>
      </c>
      <c r="C25" s="248"/>
      <c r="D25" s="248"/>
      <c r="E25" s="248"/>
      <c r="F25" s="248"/>
      <c r="G25" s="222">
        <f>CBDT!H16</f>
        <v>256252500</v>
      </c>
      <c r="H25" s="222">
        <f>CBDT!I16</f>
        <v>20500200</v>
      </c>
      <c r="I25" s="222">
        <f>CBDT!J16</f>
        <v>276752700</v>
      </c>
      <c r="J25" s="247" t="s">
        <v>212</v>
      </c>
      <c r="K25" s="245" t="s">
        <v>253</v>
      </c>
      <c r="L25" s="188"/>
      <c r="M25" s="190"/>
      <c r="Q25" s="208"/>
    </row>
    <row r="26" spans="1:17" s="187" customFormat="1" ht="16.5">
      <c r="A26" s="226" t="s">
        <v>155</v>
      </c>
      <c r="B26" s="23" t="s">
        <v>191</v>
      </c>
      <c r="C26" s="248"/>
      <c r="D26" s="248"/>
      <c r="E26" s="248"/>
      <c r="F26" s="248"/>
      <c r="G26" s="228">
        <f>CBDT!H17</f>
        <v>138937500</v>
      </c>
      <c r="H26" s="228">
        <f>CBDT!I17</f>
        <v>11115000</v>
      </c>
      <c r="I26" s="228">
        <f>CBDT!J17</f>
        <v>150052500</v>
      </c>
      <c r="J26" s="249" t="s">
        <v>236</v>
      </c>
      <c r="K26" s="252" t="s">
        <v>257</v>
      </c>
      <c r="L26" s="188"/>
      <c r="M26" s="190"/>
      <c r="Q26" s="208"/>
    </row>
    <row r="27" spans="1:17" s="187" customFormat="1" ht="16.5">
      <c r="A27" s="226" t="s">
        <v>156</v>
      </c>
      <c r="B27" s="23" t="s">
        <v>190</v>
      </c>
      <c r="C27" s="248"/>
      <c r="D27" s="248"/>
      <c r="E27" s="248"/>
      <c r="F27" s="248"/>
      <c r="G27" s="228">
        <f>CBDT!H18</f>
        <v>117314999.99999999</v>
      </c>
      <c r="H27" s="228">
        <f>CBDT!I18</f>
        <v>9385199.9999999981</v>
      </c>
      <c r="I27" s="228">
        <f>CBDT!J18</f>
        <v>126700199.99999999</v>
      </c>
      <c r="J27" s="249" t="s">
        <v>237</v>
      </c>
      <c r="K27" s="252" t="s">
        <v>257</v>
      </c>
      <c r="L27" s="188"/>
      <c r="M27" s="190"/>
      <c r="Q27" s="208"/>
    </row>
    <row r="28" spans="1:17" s="187" customFormat="1" ht="16.5">
      <c r="A28" s="225">
        <v>5</v>
      </c>
      <c r="B28" s="157" t="s">
        <v>197</v>
      </c>
      <c r="C28" s="248"/>
      <c r="D28" s="248"/>
      <c r="E28" s="248"/>
      <c r="F28" s="248"/>
      <c r="G28" s="222">
        <f>CBDT!H19</f>
        <v>168436000</v>
      </c>
      <c r="H28" s="222">
        <f>CBDT!I19</f>
        <v>13474879.999999998</v>
      </c>
      <c r="I28" s="222">
        <f>CBDT!J19</f>
        <v>181910879.99999997</v>
      </c>
      <c r="J28" s="247" t="s">
        <v>211</v>
      </c>
      <c r="K28" s="245" t="s">
        <v>252</v>
      </c>
      <c r="L28" s="188"/>
      <c r="M28" s="190"/>
      <c r="Q28" s="208"/>
    </row>
    <row r="29" spans="1:17" s="187" customFormat="1" ht="16.5">
      <c r="A29" s="226" t="s">
        <v>157</v>
      </c>
      <c r="B29" s="23" t="s">
        <v>259</v>
      </c>
      <c r="C29" s="248"/>
      <c r="D29" s="248"/>
      <c r="E29" s="248"/>
      <c r="F29" s="248"/>
      <c r="G29" s="228">
        <f>CBDT!H20</f>
        <v>133535999.99999999</v>
      </c>
      <c r="H29" s="228">
        <f>CBDT!I20</f>
        <v>10682879.999999998</v>
      </c>
      <c r="I29" s="228">
        <f>CBDT!J20</f>
        <v>144218879.99999997</v>
      </c>
      <c r="J29" s="249" t="s">
        <v>238</v>
      </c>
      <c r="K29" s="252" t="s">
        <v>257</v>
      </c>
      <c r="L29" s="188"/>
      <c r="M29" s="190"/>
      <c r="Q29" s="208"/>
    </row>
    <row r="30" spans="1:17" s="191" customFormat="1" ht="16.5">
      <c r="A30" s="226" t="s">
        <v>192</v>
      </c>
      <c r="B30" s="23" t="s">
        <v>200</v>
      </c>
      <c r="C30" s="246"/>
      <c r="D30" s="246"/>
      <c r="E30" s="246"/>
      <c r="F30" s="246"/>
      <c r="G30" s="228">
        <f>CBDT!H21</f>
        <v>34900000</v>
      </c>
      <c r="H30" s="228">
        <f>CBDT!I21</f>
        <v>2792000</v>
      </c>
      <c r="I30" s="228">
        <f>CBDT!J21</f>
        <v>37692000</v>
      </c>
      <c r="J30" s="249" t="s">
        <v>239</v>
      </c>
      <c r="K30" s="252" t="s">
        <v>257</v>
      </c>
      <c r="L30" s="204"/>
      <c r="M30" s="205"/>
      <c r="Q30" s="209"/>
    </row>
    <row r="31" spans="1:17" s="191" customFormat="1" ht="16.5">
      <c r="A31" s="225">
        <v>6</v>
      </c>
      <c r="B31" s="157" t="s">
        <v>201</v>
      </c>
      <c r="C31" s="246"/>
      <c r="D31" s="246"/>
      <c r="E31" s="246"/>
      <c r="F31" s="246"/>
      <c r="G31" s="222">
        <f>CBDT!H22</f>
        <v>103457000</v>
      </c>
      <c r="H31" s="222">
        <f>CBDT!I22</f>
        <v>8276560</v>
      </c>
      <c r="I31" s="222">
        <f>CBDT!J22</f>
        <v>111733560</v>
      </c>
      <c r="J31" s="247" t="s">
        <v>210</v>
      </c>
      <c r="K31" s="245" t="s">
        <v>251</v>
      </c>
      <c r="L31" s="204"/>
      <c r="M31" s="205"/>
      <c r="Q31" s="209"/>
    </row>
    <row r="32" spans="1:17" s="187" customFormat="1" ht="16.5">
      <c r="A32" s="226" t="s">
        <v>193</v>
      </c>
      <c r="B32" s="23" t="s">
        <v>202</v>
      </c>
      <c r="C32" s="248"/>
      <c r="D32" s="248"/>
      <c r="E32" s="248"/>
      <c r="F32" s="248"/>
      <c r="G32" s="228">
        <f>CBDT!H23</f>
        <v>75600000</v>
      </c>
      <c r="H32" s="228">
        <f>CBDT!I23</f>
        <v>6048000</v>
      </c>
      <c r="I32" s="228">
        <f>CBDT!J23</f>
        <v>81648000</v>
      </c>
      <c r="J32" s="249" t="s">
        <v>240</v>
      </c>
      <c r="K32" s="252" t="s">
        <v>257</v>
      </c>
      <c r="L32" s="188"/>
      <c r="M32" s="190"/>
      <c r="Q32" s="208"/>
    </row>
    <row r="33" spans="1:19" s="187" customFormat="1" ht="16.5">
      <c r="A33" s="226" t="s">
        <v>198</v>
      </c>
      <c r="B33" s="23" t="s">
        <v>213</v>
      </c>
      <c r="C33" s="248"/>
      <c r="D33" s="248"/>
      <c r="E33" s="248"/>
      <c r="F33" s="248"/>
      <c r="G33" s="228">
        <f>CBDT!H24</f>
        <v>9657000</v>
      </c>
      <c r="H33" s="228">
        <f>CBDT!I24</f>
        <v>772560</v>
      </c>
      <c r="I33" s="228">
        <f>CBDT!J24</f>
        <v>10429560</v>
      </c>
      <c r="J33" s="249" t="s">
        <v>244</v>
      </c>
      <c r="K33" s="252" t="s">
        <v>257</v>
      </c>
      <c r="L33" s="188"/>
      <c r="M33" s="190"/>
      <c r="Q33" s="208"/>
    </row>
    <row r="34" spans="1:19" s="187" customFormat="1" ht="16.5">
      <c r="A34" s="226" t="s">
        <v>222</v>
      </c>
      <c r="B34" s="23" t="s">
        <v>214</v>
      </c>
      <c r="C34" s="248"/>
      <c r="D34" s="248"/>
      <c r="E34" s="248"/>
      <c r="F34" s="248"/>
      <c r="G34" s="228">
        <f>CBDT!H25</f>
        <v>18200000</v>
      </c>
      <c r="H34" s="228">
        <f>CBDT!I25</f>
        <v>1456000</v>
      </c>
      <c r="I34" s="228">
        <f>CBDT!J25</f>
        <v>19656000</v>
      </c>
      <c r="J34" s="249" t="s">
        <v>245</v>
      </c>
      <c r="K34" s="252" t="s">
        <v>257</v>
      </c>
      <c r="L34" s="188"/>
      <c r="M34" s="190"/>
      <c r="Q34" s="208"/>
    </row>
    <row r="35" spans="1:19" s="187" customFormat="1" ht="16.5">
      <c r="A35" s="225">
        <v>7</v>
      </c>
      <c r="B35" s="231" t="s">
        <v>206</v>
      </c>
      <c r="C35" s="248"/>
      <c r="D35" s="248"/>
      <c r="E35" s="248"/>
      <c r="F35" s="248"/>
      <c r="G35" s="222">
        <f>CBDT!H26</f>
        <v>704198074.07407403</v>
      </c>
      <c r="H35" s="222">
        <f>CBDT!I26</f>
        <v>56335845.925925925</v>
      </c>
      <c r="I35" s="222">
        <f>CBDT!J26</f>
        <v>760533920</v>
      </c>
      <c r="J35" s="247" t="s">
        <v>209</v>
      </c>
      <c r="K35" s="245" t="s">
        <v>250</v>
      </c>
      <c r="L35" s="188"/>
      <c r="M35" s="190"/>
      <c r="Q35" s="208"/>
    </row>
    <row r="36" spans="1:19" s="216" customFormat="1" ht="16.5">
      <c r="A36" s="226" t="s">
        <v>203</v>
      </c>
      <c r="B36" s="23" t="s">
        <v>191</v>
      </c>
      <c r="C36" s="246"/>
      <c r="D36" s="246"/>
      <c r="E36" s="246"/>
      <c r="F36" s="246"/>
      <c r="G36" s="228">
        <f>CBDT!H27</f>
        <v>101640000</v>
      </c>
      <c r="H36" s="228">
        <f>CBDT!I27</f>
        <v>8131200</v>
      </c>
      <c r="I36" s="228">
        <f>CBDT!J27</f>
        <v>109771200</v>
      </c>
      <c r="J36" s="249" t="s">
        <v>246</v>
      </c>
      <c r="K36" s="252" t="s">
        <v>257</v>
      </c>
      <c r="L36" s="215"/>
      <c r="M36" s="215"/>
    </row>
    <row r="37" spans="1:19" s="216" customFormat="1" ht="16.5">
      <c r="A37" s="226" t="s">
        <v>204</v>
      </c>
      <c r="B37" s="23" t="s">
        <v>217</v>
      </c>
      <c r="C37" s="246"/>
      <c r="D37" s="246"/>
      <c r="E37" s="246"/>
      <c r="F37" s="246"/>
      <c r="G37" s="228">
        <f>CBDT!H28</f>
        <v>324074074.07407403</v>
      </c>
      <c r="H37" s="228">
        <f>CBDT!I28</f>
        <v>25925925.925925922</v>
      </c>
      <c r="I37" s="228">
        <f>CBDT!J28</f>
        <v>350000000</v>
      </c>
      <c r="J37" s="249" t="s">
        <v>247</v>
      </c>
      <c r="K37" s="252" t="s">
        <v>257</v>
      </c>
      <c r="L37" s="215"/>
      <c r="M37" s="215"/>
    </row>
    <row r="38" spans="1:19" s="216" customFormat="1" ht="16.5">
      <c r="A38" s="226" t="s">
        <v>215</v>
      </c>
      <c r="B38" s="23" t="s">
        <v>216</v>
      </c>
      <c r="C38" s="246"/>
      <c r="D38" s="246"/>
      <c r="E38" s="246"/>
      <c r="F38" s="246"/>
      <c r="G38" s="228">
        <f>CBDT!H29</f>
        <v>35700000</v>
      </c>
      <c r="H38" s="228">
        <f>CBDT!I29</f>
        <v>2856000</v>
      </c>
      <c r="I38" s="228">
        <f>CBDT!J29</f>
        <v>38556000</v>
      </c>
      <c r="J38" s="249" t="s">
        <v>242</v>
      </c>
      <c r="K38" s="252" t="s">
        <v>257</v>
      </c>
      <c r="L38" s="215"/>
      <c r="M38" s="215"/>
    </row>
    <row r="39" spans="1:19" s="216" customFormat="1" ht="16.5">
      <c r="A39" s="226" t="s">
        <v>219</v>
      </c>
      <c r="B39" s="23" t="s">
        <v>218</v>
      </c>
      <c r="C39" s="246"/>
      <c r="D39" s="246"/>
      <c r="E39" s="246"/>
      <c r="F39" s="246"/>
      <c r="G39" s="228">
        <f>CBDT!H30</f>
        <v>134784000</v>
      </c>
      <c r="H39" s="228">
        <f>CBDT!I30</f>
        <v>10782720</v>
      </c>
      <c r="I39" s="228">
        <f>CBDT!J30</f>
        <v>145566720</v>
      </c>
      <c r="J39" s="249" t="s">
        <v>248</v>
      </c>
      <c r="K39" s="252" t="s">
        <v>257</v>
      </c>
      <c r="L39" s="215"/>
      <c r="M39" s="215"/>
    </row>
    <row r="40" spans="1:19" s="216" customFormat="1" ht="16.5">
      <c r="A40" s="226" t="s">
        <v>220</v>
      </c>
      <c r="B40" s="23" t="s">
        <v>221</v>
      </c>
      <c r="C40" s="246"/>
      <c r="D40" s="246"/>
      <c r="E40" s="246"/>
      <c r="F40" s="246"/>
      <c r="G40" s="228">
        <f>CBDT!H31</f>
        <v>108000000</v>
      </c>
      <c r="H40" s="228">
        <f>CBDT!I31</f>
        <v>8640000</v>
      </c>
      <c r="I40" s="228">
        <f>CBDT!J31</f>
        <v>116640000</v>
      </c>
      <c r="J40" s="249" t="s">
        <v>249</v>
      </c>
      <c r="K40" s="252" t="s">
        <v>257</v>
      </c>
      <c r="L40" s="215"/>
      <c r="M40" s="215"/>
    </row>
    <row r="41" spans="1:19" s="187" customFormat="1" ht="16.899999999999999">
      <c r="A41" s="220" t="s">
        <v>11</v>
      </c>
      <c r="B41" s="232" t="s">
        <v>14</v>
      </c>
      <c r="C41" s="232"/>
      <c r="D41" s="232"/>
      <c r="E41" s="232"/>
      <c r="F41" s="232"/>
      <c r="G41" s="233">
        <f>G16*3.446%*1.35</f>
        <v>119170616.13800001</v>
      </c>
      <c r="H41" s="233"/>
      <c r="I41" s="233">
        <f>G41+H41</f>
        <v>119170616.13800001</v>
      </c>
      <c r="J41" s="223" t="s">
        <v>15</v>
      </c>
      <c r="K41" s="224" t="s">
        <v>151</v>
      </c>
      <c r="L41" s="192"/>
      <c r="M41" s="193"/>
      <c r="N41" s="193"/>
      <c r="O41" s="210"/>
      <c r="P41" s="210"/>
      <c r="Q41" s="210"/>
      <c r="R41" s="210"/>
      <c r="S41" s="210"/>
    </row>
    <row r="42" spans="1:19" s="211" customFormat="1" ht="16.899999999999999">
      <c r="A42" s="217" t="s">
        <v>16</v>
      </c>
      <c r="B42" s="234" t="s">
        <v>17</v>
      </c>
      <c r="C42" s="234"/>
      <c r="D42" s="234"/>
      <c r="E42" s="234"/>
      <c r="F42" s="234"/>
      <c r="G42" s="235">
        <f>ROUND(SUM(G43:G47),0)</f>
        <v>255563556</v>
      </c>
      <c r="H42" s="235">
        <f>ROUND(SUM(H43:H47),0)+2</f>
        <v>20445086</v>
      </c>
      <c r="I42" s="235">
        <f>ROUND(SUM(I43:I47),0)</f>
        <v>276008641</v>
      </c>
      <c r="J42" s="219" t="s">
        <v>18</v>
      </c>
      <c r="K42" s="236" t="s">
        <v>258</v>
      </c>
      <c r="L42" s="194"/>
      <c r="M42" s="193"/>
      <c r="N42" s="193"/>
      <c r="O42" s="210"/>
      <c r="P42" s="210"/>
      <c r="Q42" s="210"/>
      <c r="R42" s="210"/>
      <c r="S42" s="210"/>
    </row>
    <row r="43" spans="1:19" s="187" customFormat="1" ht="16.899999999999999">
      <c r="A43" s="237">
        <v>1</v>
      </c>
      <c r="B43" s="227" t="s">
        <v>19</v>
      </c>
      <c r="C43" s="227"/>
      <c r="D43" s="227"/>
      <c r="E43" s="227"/>
      <c r="F43" s="227"/>
      <c r="G43" s="238">
        <f>+G16*P44/100</f>
        <v>130503701.34400944</v>
      </c>
      <c r="H43" s="238">
        <f>G43*8%</f>
        <v>10440296.107520755</v>
      </c>
      <c r="I43" s="238">
        <f>G43+H43</f>
        <v>140943997.45153019</v>
      </c>
      <c r="J43" s="229" t="s">
        <v>20</v>
      </c>
      <c r="K43" s="230" t="s">
        <v>208</v>
      </c>
      <c r="L43" s="192"/>
      <c r="M43" s="193"/>
      <c r="N43" s="195">
        <v>1</v>
      </c>
      <c r="O43" s="212"/>
      <c r="P43" s="212">
        <v>6.5</v>
      </c>
      <c r="Q43" s="213"/>
      <c r="R43" s="210"/>
      <c r="S43" s="210"/>
    </row>
    <row r="44" spans="1:19" s="187" customFormat="1" ht="16.899999999999999">
      <c r="A44" s="237">
        <f>A43+1</f>
        <v>2</v>
      </c>
      <c r="B44" s="227" t="s">
        <v>21</v>
      </c>
      <c r="C44" s="227"/>
      <c r="D44" s="227"/>
      <c r="E44" s="227"/>
      <c r="F44" s="227"/>
      <c r="G44" s="238">
        <f>+G16*0.258/100</f>
        <v>6609062.3511111103</v>
      </c>
      <c r="H44" s="238">
        <f>G44*8%</f>
        <v>528724.98808888881</v>
      </c>
      <c r="I44" s="238">
        <f>G44+H44+1</f>
        <v>7137788.3391999993</v>
      </c>
      <c r="J44" s="229" t="s">
        <v>22</v>
      </c>
      <c r="K44" s="230" t="s">
        <v>23</v>
      </c>
      <c r="L44" s="188"/>
      <c r="M44" s="193"/>
      <c r="N44" s="195">
        <f>+G16/1000000000</f>
        <v>2.5616520740740736</v>
      </c>
      <c r="O44" s="212"/>
      <c r="P44" s="214">
        <f>P43-(P43-P45)*(N44-N43)/(N45-N43)</f>
        <v>5.0945131333333338</v>
      </c>
      <c r="Q44" s="213">
        <f>(P43+P45)/2</f>
        <v>5.6</v>
      </c>
      <c r="R44" s="210"/>
      <c r="S44" s="210"/>
    </row>
    <row r="45" spans="1:19" s="187" customFormat="1" ht="16.899999999999999">
      <c r="A45" s="237">
        <f>A44+1</f>
        <v>3</v>
      </c>
      <c r="B45" s="227" t="s">
        <v>24</v>
      </c>
      <c r="C45" s="227"/>
      <c r="D45" s="227"/>
      <c r="E45" s="227"/>
      <c r="F45" s="227"/>
      <c r="G45" s="238">
        <f>+G16*0.25/100</f>
        <v>6404130.1851851847</v>
      </c>
      <c r="H45" s="238">
        <f>G45*8%</f>
        <v>512330.41481481481</v>
      </c>
      <c r="I45" s="238">
        <f>G45+H45</f>
        <v>6916460.5999999996</v>
      </c>
      <c r="J45" s="229" t="s">
        <v>25</v>
      </c>
      <c r="K45" s="230" t="s">
        <v>26</v>
      </c>
      <c r="L45" s="188"/>
      <c r="M45" s="193"/>
      <c r="N45" s="195">
        <v>3</v>
      </c>
      <c r="O45" s="212"/>
      <c r="P45" s="212">
        <v>4.7</v>
      </c>
      <c r="Q45" s="213"/>
      <c r="R45" s="210"/>
      <c r="S45" s="210"/>
    </row>
    <row r="46" spans="1:19" s="187" customFormat="1" ht="16.899999999999999">
      <c r="A46" s="237">
        <f>A45+1</f>
        <v>4</v>
      </c>
      <c r="B46" s="227" t="s">
        <v>27</v>
      </c>
      <c r="C46" s="227"/>
      <c r="D46" s="227"/>
      <c r="E46" s="227"/>
      <c r="F46" s="227"/>
      <c r="G46" s="238">
        <f>(G16)*3.285%*1.2</f>
        <v>100980324.76000001</v>
      </c>
      <c r="H46" s="238">
        <f>G46*8%</f>
        <v>8078425.980800001</v>
      </c>
      <c r="I46" s="238">
        <f>G46+H46</f>
        <v>109058750.74080001</v>
      </c>
      <c r="J46" s="229" t="s">
        <v>28</v>
      </c>
      <c r="K46" s="230" t="s">
        <v>174</v>
      </c>
      <c r="L46" s="188"/>
      <c r="M46" s="193"/>
      <c r="N46" s="193"/>
      <c r="O46" s="210"/>
      <c r="P46" s="210"/>
      <c r="Q46" s="210"/>
      <c r="R46" s="210"/>
      <c r="S46" s="210"/>
    </row>
    <row r="47" spans="1:19" s="187" customFormat="1" ht="16.899999999999999">
      <c r="A47" s="237">
        <v>5</v>
      </c>
      <c r="B47" s="239" t="s">
        <v>166</v>
      </c>
      <c r="C47" s="227"/>
      <c r="D47" s="227"/>
      <c r="E47" s="227"/>
      <c r="F47" s="227"/>
      <c r="G47" s="238">
        <f>G16*0.432%</f>
        <v>11066336.959999999</v>
      </c>
      <c r="H47" s="238">
        <f>G47*8%</f>
        <v>885306.95679999993</v>
      </c>
      <c r="I47" s="238">
        <f>G47+H47</f>
        <v>11951643.9168</v>
      </c>
      <c r="J47" s="229" t="s">
        <v>168</v>
      </c>
      <c r="K47" s="230" t="s">
        <v>167</v>
      </c>
      <c r="L47" s="188"/>
      <c r="M47" s="193"/>
      <c r="N47" s="193"/>
      <c r="O47" s="210"/>
      <c r="P47" s="210"/>
      <c r="Q47" s="210"/>
      <c r="R47" s="210"/>
      <c r="S47" s="210"/>
    </row>
    <row r="48" spans="1:19" s="187" customFormat="1" ht="16.5">
      <c r="A48" s="220" t="s">
        <v>29</v>
      </c>
      <c r="B48" s="221" t="s">
        <v>30</v>
      </c>
      <c r="C48" s="221"/>
      <c r="D48" s="221"/>
      <c r="E48" s="221"/>
      <c r="F48" s="221"/>
      <c r="G48" s="233">
        <f>SUM(G49:G52)</f>
        <v>30116380.134531043</v>
      </c>
      <c r="H48" s="233"/>
      <c r="I48" s="233">
        <f>ROUND(SUM(I49:I52),0)</f>
        <v>30116380</v>
      </c>
      <c r="J48" s="223" t="s">
        <v>31</v>
      </c>
      <c r="K48" s="224" t="s">
        <v>171</v>
      </c>
      <c r="L48" s="188"/>
      <c r="M48" s="188"/>
    </row>
    <row r="49" spans="1:15" s="122" customFormat="1" ht="16.5">
      <c r="A49" s="237">
        <v>1</v>
      </c>
      <c r="B49" s="239" t="s">
        <v>32</v>
      </c>
      <c r="C49" s="239"/>
      <c r="D49" s="239"/>
      <c r="E49" s="239"/>
      <c r="F49" s="239"/>
      <c r="G49" s="238">
        <f>G16*(0.258%+0.25%)*1.2*80%</f>
        <v>12492664.834844444</v>
      </c>
      <c r="H49" s="238"/>
      <c r="I49" s="238">
        <f>G49</f>
        <v>12492664.834844444</v>
      </c>
      <c r="J49" s="229" t="s">
        <v>33</v>
      </c>
      <c r="K49" s="230" t="s">
        <v>175</v>
      </c>
      <c r="L49" s="186"/>
      <c r="M49" s="187"/>
      <c r="N49" s="187"/>
      <c r="O49" s="188"/>
    </row>
    <row r="50" spans="1:15" s="122" customFormat="1" ht="27.75" hidden="1">
      <c r="A50" s="237">
        <v>2</v>
      </c>
      <c r="B50" s="239" t="s">
        <v>164</v>
      </c>
      <c r="C50" s="239"/>
      <c r="D50" s="239"/>
      <c r="E50" s="239"/>
      <c r="F50" s="239"/>
      <c r="G50" s="238"/>
      <c r="H50" s="238"/>
      <c r="I50" s="238">
        <f>G50</f>
        <v>0</v>
      </c>
      <c r="J50" s="229" t="s">
        <v>34</v>
      </c>
      <c r="K50" s="230" t="s">
        <v>165</v>
      </c>
      <c r="L50" s="186"/>
      <c r="M50" s="187"/>
      <c r="N50" s="187"/>
      <c r="O50" s="188"/>
    </row>
    <row r="51" spans="1:15" s="122" customFormat="1" ht="16.5">
      <c r="A51" s="237">
        <v>2</v>
      </c>
      <c r="B51" s="239" t="s">
        <v>35</v>
      </c>
      <c r="C51" s="239"/>
      <c r="D51" s="239"/>
      <c r="E51" s="239"/>
      <c r="F51" s="239"/>
      <c r="G51" s="238">
        <f>L56*0.57%</f>
        <v>17623715.2996866</v>
      </c>
      <c r="H51" s="238"/>
      <c r="I51" s="238">
        <f>G51</f>
        <v>17623715.2996866</v>
      </c>
      <c r="J51" s="229" t="s">
        <v>34</v>
      </c>
      <c r="K51" s="230" t="s">
        <v>173</v>
      </c>
      <c r="L51" s="188"/>
      <c r="M51" s="196">
        <f>I16+I41+I42+I48</f>
        <v>3191879877.138</v>
      </c>
      <c r="N51" s="187"/>
    </row>
    <row r="52" spans="1:15" s="122" customFormat="1" ht="16.5" hidden="1">
      <c r="A52" s="237">
        <v>4</v>
      </c>
      <c r="B52" s="239" t="s">
        <v>169</v>
      </c>
      <c r="C52" s="239"/>
      <c r="D52" s="239"/>
      <c r="E52" s="239"/>
      <c r="F52" s="239"/>
      <c r="G52" s="238"/>
      <c r="H52" s="238"/>
      <c r="I52" s="238"/>
      <c r="J52" s="229"/>
      <c r="K52" s="230" t="s">
        <v>170</v>
      </c>
      <c r="L52" s="188"/>
      <c r="M52" s="187"/>
      <c r="N52" s="187"/>
    </row>
    <row r="53" spans="1:15" s="187" customFormat="1" ht="16.5">
      <c r="A53" s="220" t="s">
        <v>36</v>
      </c>
      <c r="B53" s="221" t="s">
        <v>37</v>
      </c>
      <c r="C53" s="221"/>
      <c r="D53" s="221"/>
      <c r="E53" s="221"/>
      <c r="F53" s="221"/>
      <c r="G53" s="233"/>
      <c r="H53" s="233"/>
      <c r="I53" s="251">
        <f>I54-(I16+I41+I42+I48)</f>
        <v>108120122.86199999</v>
      </c>
      <c r="J53" s="223" t="s">
        <v>38</v>
      </c>
      <c r="K53" s="224" t="str">
        <f>"TMĐT*"&amp;ROUND(I53/I54*100,2)&amp;"%"</f>
        <v>TMĐT*3,28%</v>
      </c>
      <c r="L53" s="188"/>
      <c r="M53" s="188"/>
      <c r="N53" s="196"/>
    </row>
    <row r="54" spans="1:15" s="187" customFormat="1" ht="16.5">
      <c r="A54" s="240"/>
      <c r="B54" s="220" t="s">
        <v>39</v>
      </c>
      <c r="C54" s="220"/>
      <c r="D54" s="220"/>
      <c r="E54" s="220"/>
      <c r="F54" s="220"/>
      <c r="G54" s="233"/>
      <c r="H54" s="233"/>
      <c r="I54" s="251">
        <v>3300000000</v>
      </c>
      <c r="J54" s="223" t="s">
        <v>40</v>
      </c>
      <c r="K54" s="241"/>
      <c r="L54" s="189">
        <v>3200000000</v>
      </c>
      <c r="M54" s="196">
        <f>+L54-I54</f>
        <v>-100000000</v>
      </c>
      <c r="N54" s="188"/>
    </row>
    <row r="55" spans="1:15" s="121" customFormat="1" ht="16.5">
      <c r="A55" s="187" t="s">
        <v>41</v>
      </c>
      <c r="B55" s="198"/>
      <c r="C55" s="198"/>
      <c r="D55" s="198"/>
      <c r="E55" s="198"/>
      <c r="F55" s="198"/>
      <c r="G55" s="263" t="s">
        <v>224</v>
      </c>
      <c r="H55" s="263"/>
      <c r="I55" s="263"/>
      <c r="J55" s="263"/>
      <c r="K55" s="263"/>
      <c r="L55" s="189">
        <v>108120122.86199999</v>
      </c>
      <c r="M55" s="187"/>
      <c r="N55" s="187"/>
    </row>
    <row r="56" spans="1:15" s="121" customFormat="1" ht="16.5">
      <c r="A56" s="187"/>
      <c r="B56" s="199"/>
      <c r="C56" s="199"/>
      <c r="D56" s="199"/>
      <c r="E56" s="199"/>
      <c r="F56" s="199"/>
      <c r="G56" s="264" t="s">
        <v>83</v>
      </c>
      <c r="H56" s="264"/>
      <c r="I56" s="264"/>
      <c r="J56" s="264"/>
      <c r="K56" s="264"/>
      <c r="L56" s="188">
        <f>L54-L55</f>
        <v>3091879877.138</v>
      </c>
      <c r="M56" s="196">
        <v>2650000000</v>
      </c>
      <c r="N56" s="200">
        <f>+M56-L56</f>
        <v>-441879877.13800001</v>
      </c>
    </row>
    <row r="57" spans="1:15" s="121" customFormat="1" ht="16.5">
      <c r="A57" s="258" t="s">
        <v>84</v>
      </c>
      <c r="B57" s="258"/>
      <c r="C57" s="258"/>
      <c r="D57" s="258"/>
      <c r="E57" s="258"/>
      <c r="F57" s="258"/>
      <c r="G57" s="258"/>
      <c r="H57" s="258" t="s">
        <v>42</v>
      </c>
      <c r="I57" s="258"/>
      <c r="J57" s="258"/>
      <c r="K57" s="258"/>
      <c r="L57" s="188"/>
      <c r="M57" s="197"/>
      <c r="N57" s="187"/>
    </row>
    <row r="58" spans="1:15" s="121" customFormat="1" ht="16.5">
      <c r="A58" s="187"/>
      <c r="B58" s="201"/>
      <c r="C58" s="201"/>
      <c r="D58" s="201"/>
      <c r="E58" s="201"/>
      <c r="F58" s="201"/>
      <c r="G58" s="201"/>
      <c r="H58" s="202"/>
      <c r="I58" s="202"/>
      <c r="J58" s="202"/>
      <c r="K58" s="199"/>
      <c r="L58" s="188">
        <f>L54-I54</f>
        <v>-100000000</v>
      </c>
      <c r="M58" s="206" t="s">
        <v>205</v>
      </c>
      <c r="N58" s="189">
        <v>3100000000</v>
      </c>
    </row>
    <row r="59" spans="1:15" s="121" customFormat="1" ht="16.5">
      <c r="A59" s="187"/>
      <c r="B59" s="199"/>
      <c r="C59" s="199"/>
      <c r="D59" s="199"/>
      <c r="E59" s="199"/>
      <c r="F59" s="199"/>
      <c r="G59" s="201"/>
      <c r="H59" s="202"/>
      <c r="I59" s="202"/>
      <c r="J59" s="202"/>
      <c r="K59" s="202"/>
      <c r="L59" s="188">
        <f>+M56-I54</f>
        <v>-650000000</v>
      </c>
      <c r="M59" s="187"/>
      <c r="N59" s="187"/>
    </row>
    <row r="60" spans="1:15" s="121" customFormat="1" ht="16.5">
      <c r="A60" s="187"/>
      <c r="B60" s="199"/>
      <c r="C60" s="199"/>
      <c r="D60" s="199"/>
      <c r="E60" s="199"/>
      <c r="F60" s="199"/>
      <c r="G60" s="201"/>
      <c r="H60" s="202"/>
      <c r="I60" s="202"/>
      <c r="J60" s="202"/>
      <c r="K60" s="202"/>
      <c r="L60" s="188"/>
      <c r="M60" s="197"/>
      <c r="N60" s="189">
        <f>I16+I41+I42+I48</f>
        <v>3191879877.138</v>
      </c>
    </row>
    <row r="61" spans="1:15" s="121" customFormat="1">
      <c r="B61" s="137"/>
      <c r="C61" s="137"/>
      <c r="D61" s="137"/>
      <c r="E61" s="137"/>
      <c r="F61" s="137"/>
      <c r="G61" s="137"/>
      <c r="H61" s="136"/>
      <c r="I61" s="136"/>
      <c r="J61" s="136"/>
      <c r="K61" s="138"/>
      <c r="L61" s="116"/>
    </row>
    <row r="62" spans="1:15" s="121" customFormat="1">
      <c r="A62" s="139"/>
      <c r="B62" s="139"/>
      <c r="C62" s="139"/>
      <c r="D62" s="139"/>
      <c r="E62" s="139"/>
      <c r="F62" s="139"/>
      <c r="G62" s="139"/>
      <c r="H62" s="136"/>
      <c r="I62" s="136"/>
      <c r="J62" s="136"/>
      <c r="K62" s="140"/>
      <c r="L62" s="116"/>
    </row>
    <row r="63" spans="1:15" s="121" customFormat="1">
      <c r="B63" s="141" t="s">
        <v>177</v>
      </c>
      <c r="C63" s="141"/>
      <c r="D63" s="141"/>
      <c r="E63" s="141"/>
      <c r="F63" s="141"/>
      <c r="G63" s="142"/>
      <c r="H63" s="134"/>
      <c r="I63" s="136"/>
      <c r="J63" s="136"/>
      <c r="K63" s="134"/>
      <c r="L63" s="116"/>
    </row>
    <row r="64" spans="1:15" s="121" customFormat="1">
      <c r="B64" s="257" t="s">
        <v>178</v>
      </c>
      <c r="C64" s="257"/>
      <c r="D64" s="257"/>
      <c r="E64" s="257"/>
      <c r="F64" s="257"/>
      <c r="G64" s="257"/>
      <c r="H64" s="134"/>
      <c r="I64" s="136"/>
      <c r="J64" s="136"/>
      <c r="K64" s="134"/>
      <c r="L64" s="116"/>
    </row>
    <row r="65" spans="1:12" s="121" customFormat="1">
      <c r="B65" s="141"/>
      <c r="C65" s="141"/>
      <c r="D65" s="141"/>
      <c r="E65" s="141"/>
      <c r="F65" s="141"/>
      <c r="G65" s="142"/>
      <c r="H65" s="134"/>
      <c r="I65" s="136"/>
      <c r="J65" s="136"/>
      <c r="K65" s="136"/>
      <c r="L65" s="116"/>
    </row>
    <row r="66" spans="1:12">
      <c r="A66" s="134"/>
      <c r="B66" s="135"/>
      <c r="C66" s="135"/>
      <c r="D66" s="135"/>
      <c r="E66" s="135"/>
      <c r="F66" s="135"/>
      <c r="G66" s="143"/>
      <c r="H66" s="144"/>
      <c r="I66" s="144"/>
      <c r="J66" s="144"/>
      <c r="K66" s="144"/>
    </row>
    <row r="67" spans="1:12">
      <c r="A67" s="134"/>
      <c r="B67" s="135"/>
      <c r="C67" s="135"/>
      <c r="D67" s="135"/>
      <c r="E67" s="135"/>
      <c r="F67" s="135"/>
      <c r="G67" s="143"/>
      <c r="H67" s="144"/>
      <c r="I67" s="144"/>
      <c r="J67" s="144"/>
      <c r="K67" s="144"/>
    </row>
    <row r="68" spans="1:12">
      <c r="A68" s="134"/>
      <c r="B68" s="135"/>
      <c r="C68" s="135"/>
      <c r="D68" s="135"/>
      <c r="E68" s="135"/>
      <c r="F68" s="135"/>
      <c r="G68" s="143"/>
      <c r="H68" s="144"/>
      <c r="I68" s="144"/>
      <c r="J68" s="144"/>
      <c r="K68" s="144"/>
    </row>
    <row r="69" spans="1:12">
      <c r="A69" s="134"/>
      <c r="B69" s="135"/>
      <c r="C69" s="135"/>
      <c r="D69" s="135"/>
      <c r="E69" s="135"/>
      <c r="F69" s="135"/>
      <c r="G69" s="143"/>
      <c r="H69" s="144"/>
      <c r="I69" s="144"/>
      <c r="J69" s="144"/>
      <c r="K69" s="144"/>
    </row>
    <row r="70" spans="1:12">
      <c r="A70" s="134"/>
      <c r="B70" s="135"/>
      <c r="C70" s="135"/>
      <c r="D70" s="135"/>
      <c r="E70" s="135"/>
      <c r="F70" s="135"/>
      <c r="G70" s="143"/>
      <c r="H70" s="144"/>
      <c r="I70" s="144"/>
      <c r="J70" s="144"/>
      <c r="K70" s="144"/>
    </row>
  </sheetData>
  <mergeCells count="17">
    <mergeCell ref="B9:K9"/>
    <mergeCell ref="B13:K13"/>
    <mergeCell ref="B64:G64"/>
    <mergeCell ref="A57:G57"/>
    <mergeCell ref="H57:K57"/>
    <mergeCell ref="A1:K1"/>
    <mergeCell ref="B2:K2"/>
    <mergeCell ref="B3:K3"/>
    <mergeCell ref="G55:K55"/>
    <mergeCell ref="G56:K56"/>
    <mergeCell ref="B11:K11"/>
    <mergeCell ref="B12:K12"/>
    <mergeCell ref="B5:K5"/>
    <mergeCell ref="B6:K6"/>
    <mergeCell ref="B7:K7"/>
    <mergeCell ref="B8:K8"/>
    <mergeCell ref="B10:K10"/>
  </mergeCells>
  <phoneticPr fontId="49" type="noConversion"/>
  <printOptions horizontalCentered="1"/>
  <pageMargins left="0.39370078740157483" right="0.39370078740157483" top="0.59055118110236227" bottom="0.39370078740157483" header="0.31496062992125984" footer="0.31496062992125984"/>
  <pageSetup paperSize="9" scale="8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8"/>
  <sheetViews>
    <sheetView workbookViewId="0">
      <selection activeCell="C18" sqref="C18"/>
    </sheetView>
  </sheetViews>
  <sheetFormatPr defaultColWidth="8" defaultRowHeight="12.75"/>
  <cols>
    <col min="1" max="1" width="8" style="14"/>
    <col min="2" max="2" width="55.1328125" style="14" customWidth="1"/>
    <col min="3" max="3" width="6.46484375" style="14" bestFit="1" customWidth="1"/>
    <col min="4" max="4" width="16" style="14" bestFit="1" customWidth="1"/>
    <col min="5" max="5" width="12.1328125" style="14" bestFit="1" customWidth="1"/>
    <col min="6" max="6" width="12.46484375" style="14" bestFit="1" customWidth="1"/>
    <col min="7" max="7" width="16.46484375" style="14" customWidth="1"/>
    <col min="8" max="8" width="12.46484375" style="14" customWidth="1"/>
    <col min="9" max="16384" width="8" style="14"/>
  </cols>
  <sheetData>
    <row r="1" spans="1:32" s="6" customFormat="1" ht="18.75">
      <c r="A1" s="267" t="s">
        <v>43</v>
      </c>
      <c r="B1" s="268"/>
      <c r="C1" s="268"/>
      <c r="D1" s="268"/>
      <c r="E1" s="268"/>
      <c r="F1" s="268"/>
      <c r="G1" s="268"/>
    </row>
    <row r="2" spans="1:32" s="5" customFormat="1" ht="15">
      <c r="A2" s="3"/>
      <c r="B2" s="269" t="str">
        <f>THKP!B2</f>
        <v>CÔNG TRÌNH: CẢI TẠO CÁC ĐIỂM TRƯỜNG, LỚP HỌC TRÊN ĐỊA BÀN HUYỆN</v>
      </c>
      <c r="C2" s="270"/>
      <c r="D2" s="270"/>
      <c r="E2" s="270"/>
      <c r="F2" s="270"/>
      <c r="G2" s="270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s="6" customFormat="1" ht="13.9">
      <c r="A3" s="271" t="s">
        <v>44</v>
      </c>
      <c r="B3" s="272"/>
      <c r="C3" s="272"/>
      <c r="D3" s="272"/>
      <c r="E3" s="272"/>
      <c r="F3" s="272"/>
      <c r="G3" s="272"/>
    </row>
    <row r="4" spans="1:32" s="6" customFormat="1" ht="27">
      <c r="A4" s="7" t="s">
        <v>45</v>
      </c>
      <c r="B4" s="7" t="s">
        <v>46</v>
      </c>
      <c r="C4" s="7" t="s">
        <v>7</v>
      </c>
      <c r="D4" s="7" t="s">
        <v>47</v>
      </c>
      <c r="E4" s="7" t="s">
        <v>4</v>
      </c>
      <c r="F4" s="7" t="s">
        <v>48</v>
      </c>
      <c r="G4" s="7" t="s">
        <v>49</v>
      </c>
    </row>
    <row r="5" spans="1:32" s="6" customFormat="1" ht="13.9">
      <c r="A5" s="7" t="s">
        <v>50</v>
      </c>
      <c r="B5" s="7" t="s">
        <v>51</v>
      </c>
      <c r="C5" s="7"/>
      <c r="D5" s="7" t="s">
        <v>52</v>
      </c>
      <c r="E5" s="7" t="s">
        <v>53</v>
      </c>
      <c r="F5" s="7" t="s">
        <v>54</v>
      </c>
      <c r="G5" s="7" t="s">
        <v>55</v>
      </c>
    </row>
    <row r="6" spans="1:32" s="6" customFormat="1" ht="13.9">
      <c r="A6" s="8" t="s">
        <v>56</v>
      </c>
      <c r="B6" s="9" t="s">
        <v>57</v>
      </c>
      <c r="C6" s="9"/>
      <c r="D6" s="10">
        <f>THKP!G16*1%</f>
        <v>25616520.740740739</v>
      </c>
      <c r="E6" s="10">
        <f>D6*10%</f>
        <v>2561652.0740740742</v>
      </c>
      <c r="F6" s="10">
        <f>D6+E6</f>
        <v>28178172.814814813</v>
      </c>
      <c r="G6" s="8" t="s">
        <v>58</v>
      </c>
    </row>
    <row r="7" spans="1:32" s="6" customFormat="1" ht="13.9">
      <c r="A7" s="8" t="s">
        <v>59</v>
      </c>
      <c r="B7" s="9" t="s">
        <v>60</v>
      </c>
      <c r="C7" s="9"/>
      <c r="D7" s="10">
        <f>THKP!G16*2.5%</f>
        <v>64041301.851851851</v>
      </c>
      <c r="E7" s="10">
        <f>D7*10%</f>
        <v>6404130.1851851856</v>
      </c>
      <c r="F7" s="10">
        <f>D7+E7</f>
        <v>70445432.03703703</v>
      </c>
      <c r="G7" s="8" t="s">
        <v>61</v>
      </c>
    </row>
    <row r="8" spans="1:32" s="6" customFormat="1" ht="13.9">
      <c r="A8" s="11"/>
      <c r="B8" s="12" t="s">
        <v>62</v>
      </c>
      <c r="C8" s="7"/>
      <c r="D8" s="13">
        <f>D6+D7</f>
        <v>89657822.592592597</v>
      </c>
      <c r="E8" s="13">
        <f>E6+E7</f>
        <v>8965782.2592592593</v>
      </c>
      <c r="F8" s="13">
        <f>F6+F7</f>
        <v>98623604.851851851</v>
      </c>
      <c r="G8" s="7" t="s">
        <v>63</v>
      </c>
    </row>
  </sheetData>
  <mergeCells count="3">
    <mergeCell ref="A1:G1"/>
    <mergeCell ref="B2:G2"/>
    <mergeCell ref="A3:G3"/>
  </mergeCells>
  <pageMargins left="0.85" right="0.7" top="1.04" bottom="0.75" header="0.3" footer="0.3"/>
  <pageSetup paperSize="9"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9"/>
  <sheetViews>
    <sheetView topLeftCell="A4" zoomScaleNormal="100" workbookViewId="0">
      <selection activeCell="G11" sqref="G11"/>
    </sheetView>
  </sheetViews>
  <sheetFormatPr defaultRowHeight="14.25"/>
  <cols>
    <col min="1" max="1" width="4.86328125" style="43" customWidth="1"/>
    <col min="2" max="2" width="41.46484375" customWidth="1"/>
    <col min="3" max="3" width="21" hidden="1" customWidth="1"/>
    <col min="4" max="4" width="9.46484375" hidden="1" customWidth="1"/>
    <col min="5" max="5" width="5.86328125" customWidth="1"/>
    <col min="6" max="6" width="5.53125" customWidth="1"/>
    <col min="7" max="7" width="16.53125" customWidth="1"/>
    <col min="8" max="8" width="18.1328125" style="44" customWidth="1"/>
    <col min="9" max="9" width="14.86328125" style="44" customWidth="1"/>
    <col min="10" max="10" width="18" customWidth="1"/>
    <col min="11" max="11" width="17.33203125" style="30" customWidth="1"/>
  </cols>
  <sheetData>
    <row r="1" spans="1:12" s="16" customFormat="1" ht="20.65">
      <c r="A1" s="277" t="s">
        <v>150</v>
      </c>
      <c r="B1" s="278"/>
      <c r="C1" s="278"/>
      <c r="D1" s="278"/>
      <c r="E1" s="278"/>
      <c r="F1" s="278"/>
      <c r="G1" s="278"/>
      <c r="H1" s="278"/>
      <c r="I1" s="278"/>
      <c r="J1" s="278"/>
      <c r="K1" s="15"/>
    </row>
    <row r="2" spans="1:12" s="16" customFormat="1" ht="18" customHeight="1">
      <c r="A2" s="279" t="str">
        <f>THKP!B2</f>
        <v>CÔNG TRÌNH: CẢI TẠO CÁC ĐIỂM TRƯỜNG, LỚP HỌC TRÊN ĐỊA BÀN HUYỆN</v>
      </c>
      <c r="B2" s="280"/>
      <c r="C2" s="280"/>
      <c r="D2" s="280"/>
      <c r="E2" s="280"/>
      <c r="F2" s="280"/>
      <c r="G2" s="280"/>
      <c r="H2" s="280"/>
      <c r="I2" s="280"/>
      <c r="J2" s="280"/>
      <c r="K2" s="15"/>
    </row>
    <row r="3" spans="1:12" s="16" customFormat="1" ht="17.25" customHeight="1">
      <c r="A3" s="280" t="str">
        <f>THKP!B3</f>
        <v>ĐỊA ĐIỂM XD: HUYỆN TU MƠ RÔNG - TỈNH KON TUM</v>
      </c>
      <c r="B3" s="280"/>
      <c r="C3" s="280"/>
      <c r="D3" s="280"/>
      <c r="E3" s="280"/>
      <c r="F3" s="280"/>
      <c r="G3" s="280"/>
      <c r="H3" s="280"/>
      <c r="I3" s="280"/>
      <c r="J3" s="280"/>
      <c r="K3" s="15"/>
    </row>
    <row r="4" spans="1:12" s="16" customFormat="1" ht="13.15">
      <c r="A4" s="17"/>
      <c r="B4" s="18"/>
      <c r="C4" s="18"/>
      <c r="D4" s="18"/>
      <c r="E4" s="18"/>
      <c r="F4" s="18"/>
      <c r="G4" s="18"/>
      <c r="H4" s="18"/>
      <c r="I4" s="18"/>
      <c r="J4" s="18"/>
      <c r="K4" s="15"/>
    </row>
    <row r="5" spans="1:12" s="20" customFormat="1" ht="12.75" customHeight="1">
      <c r="A5" s="281" t="s">
        <v>1</v>
      </c>
      <c r="B5" s="281" t="s">
        <v>46</v>
      </c>
      <c r="C5" s="281" t="s">
        <v>7</v>
      </c>
      <c r="D5" s="283" t="s">
        <v>65</v>
      </c>
      <c r="E5" s="285" t="s">
        <v>66</v>
      </c>
      <c r="F5" s="286"/>
      <c r="G5" s="281" t="s">
        <v>67</v>
      </c>
      <c r="H5" s="275" t="s">
        <v>68</v>
      </c>
      <c r="I5" s="276" t="s">
        <v>183</v>
      </c>
      <c r="J5" s="276" t="s">
        <v>69</v>
      </c>
      <c r="K5" s="19"/>
    </row>
    <row r="6" spans="1:12" s="20" customFormat="1" ht="17.25" customHeight="1">
      <c r="A6" s="282"/>
      <c r="B6" s="282"/>
      <c r="C6" s="282"/>
      <c r="D6" s="284"/>
      <c r="E6" s="287"/>
      <c r="F6" s="288"/>
      <c r="G6" s="282"/>
      <c r="H6" s="275"/>
      <c r="I6" s="276"/>
      <c r="J6" s="276"/>
      <c r="K6" s="19"/>
    </row>
    <row r="7" spans="1:12" s="20" customFormat="1" ht="18" customHeight="1">
      <c r="A7" s="150" t="s">
        <v>8</v>
      </c>
      <c r="B7" s="145" t="s">
        <v>181</v>
      </c>
      <c r="C7" s="21" t="s">
        <v>180</v>
      </c>
      <c r="D7" s="21" t="s">
        <v>10</v>
      </c>
      <c r="E7" s="169"/>
      <c r="F7" s="170"/>
      <c r="G7" s="21"/>
      <c r="H7" s="22">
        <f>H8+H11+H14+H16+H19+H26+H22</f>
        <v>2561652074.0740738</v>
      </c>
      <c r="I7" s="22">
        <f>I8+I11+I14+I16+I19+I26+I22</f>
        <v>204932165.92592591</v>
      </c>
      <c r="J7" s="22">
        <f>J8+J11+J14+J16+J19+J26+J22</f>
        <v>2766584240</v>
      </c>
      <c r="K7" s="203">
        <f>THKP!I53</f>
        <v>108120122.86199999</v>
      </c>
    </row>
    <row r="8" spans="1:12" s="162" customFormat="1" ht="19.5" customHeight="1">
      <c r="A8" s="156">
        <v>1</v>
      </c>
      <c r="B8" s="157" t="s">
        <v>184</v>
      </c>
      <c r="C8" s="158" t="s">
        <v>152</v>
      </c>
      <c r="D8" s="159" t="e">
        <f>THKP!#REF!</f>
        <v>#REF!</v>
      </c>
      <c r="E8" s="273"/>
      <c r="F8" s="274"/>
      <c r="G8" s="167"/>
      <c r="H8" s="160">
        <f>SUM(H9:H10)</f>
        <v>679816000</v>
      </c>
      <c r="I8" s="160">
        <f>SUM(I9:I10)</f>
        <v>54385280</v>
      </c>
      <c r="J8" s="160">
        <f>SUM(J9:J10)</f>
        <v>734201280</v>
      </c>
      <c r="K8" s="161">
        <v>224.28</v>
      </c>
      <c r="L8" s="162" t="s">
        <v>85</v>
      </c>
    </row>
    <row r="9" spans="1:12" s="154" customFormat="1" ht="13.9">
      <c r="A9" s="48" t="s">
        <v>153</v>
      </c>
      <c r="B9" s="23" t="s">
        <v>225</v>
      </c>
      <c r="C9" s="113"/>
      <c r="D9" s="151"/>
      <c r="E9" s="172">
        <f>8.9*25.2*2</f>
        <v>448.56</v>
      </c>
      <c r="F9" s="173" t="s">
        <v>85</v>
      </c>
      <c r="G9" s="168">
        <v>1050000</v>
      </c>
      <c r="H9" s="152">
        <f>G9*E9</f>
        <v>470988000</v>
      </c>
      <c r="I9" s="152">
        <f>H9*8%</f>
        <v>37679040</v>
      </c>
      <c r="J9" s="152">
        <f>H9+I9</f>
        <v>508667040</v>
      </c>
      <c r="K9" s="153">
        <f>THKP!N60</f>
        <v>3191879877.138</v>
      </c>
    </row>
    <row r="10" spans="1:12" s="154" customFormat="1" ht="13.9">
      <c r="A10" s="48" t="s">
        <v>185</v>
      </c>
      <c r="B10" s="23" t="s">
        <v>226</v>
      </c>
      <c r="C10" s="113"/>
      <c r="D10" s="151"/>
      <c r="E10" s="172">
        <f>8.3*29.6</f>
        <v>245.68000000000004</v>
      </c>
      <c r="F10" s="173" t="s">
        <v>85</v>
      </c>
      <c r="G10" s="168">
        <v>850000</v>
      </c>
      <c r="H10" s="152">
        <f>G10*E10</f>
        <v>208828000.00000003</v>
      </c>
      <c r="I10" s="152">
        <f>H10*8%</f>
        <v>16706240.000000002</v>
      </c>
      <c r="J10" s="152">
        <f>H10+I10</f>
        <v>225534240.00000003</v>
      </c>
      <c r="K10" s="153"/>
    </row>
    <row r="11" spans="1:12" s="165" customFormat="1" ht="19.5" customHeight="1">
      <c r="A11" s="156">
        <v>2</v>
      </c>
      <c r="B11" s="157" t="s">
        <v>186</v>
      </c>
      <c r="C11" s="158" t="s">
        <v>152</v>
      </c>
      <c r="D11" s="163" t="e">
        <f>THKP!#REF!</f>
        <v>#REF!</v>
      </c>
      <c r="E11" s="171"/>
      <c r="F11" s="174"/>
      <c r="G11" s="167">
        <f t="shared" ref="G11" si="0">H11</f>
        <v>551947499.99999988</v>
      </c>
      <c r="H11" s="160">
        <f>SUM(H12:H13)</f>
        <v>551947499.99999988</v>
      </c>
      <c r="I11" s="160">
        <f>SUM(I12:I13)</f>
        <v>44155799.999999993</v>
      </c>
      <c r="J11" s="160">
        <f>SUM(J12:J13)</f>
        <v>596103299.99999988</v>
      </c>
      <c r="K11" s="164"/>
    </row>
    <row r="12" spans="1:12" s="154" customFormat="1" ht="27.75">
      <c r="A12" s="48" t="s">
        <v>153</v>
      </c>
      <c r="B12" s="23" t="s">
        <v>227</v>
      </c>
      <c r="C12" s="113"/>
      <c r="D12" s="151"/>
      <c r="E12" s="172">
        <f>8.7*25.2*2</f>
        <v>438.47999999999996</v>
      </c>
      <c r="F12" s="173" t="s">
        <v>85</v>
      </c>
      <c r="G12" s="168">
        <v>850000</v>
      </c>
      <c r="H12" s="152">
        <f>G12*E12</f>
        <v>372707999.99999994</v>
      </c>
      <c r="I12" s="152">
        <f>H12*8%</f>
        <v>29816639.999999996</v>
      </c>
      <c r="J12" s="152">
        <f>H12+I12</f>
        <v>402524639.99999994</v>
      </c>
      <c r="K12" s="153"/>
    </row>
    <row r="13" spans="1:12" s="154" customFormat="1" ht="13.9">
      <c r="A13" s="48" t="s">
        <v>185</v>
      </c>
      <c r="B13" s="23" t="s">
        <v>228</v>
      </c>
      <c r="C13" s="113"/>
      <c r="D13" s="151"/>
      <c r="E13" s="172">
        <f>7.8*26.4+1.5*3.3</f>
        <v>210.86999999999998</v>
      </c>
      <c r="F13" s="173" t="s">
        <v>85</v>
      </c>
      <c r="G13" s="168">
        <v>850000</v>
      </c>
      <c r="H13" s="152">
        <f>G13*E13</f>
        <v>179239499.99999997</v>
      </c>
      <c r="I13" s="152">
        <f>H13*8%</f>
        <v>14339159.999999998</v>
      </c>
      <c r="J13" s="152">
        <f>H13+I13</f>
        <v>193578659.99999997</v>
      </c>
      <c r="K13" s="153"/>
    </row>
    <row r="14" spans="1:12" s="154" customFormat="1" ht="13.5">
      <c r="A14" s="156">
        <v>3</v>
      </c>
      <c r="B14" s="157" t="s">
        <v>187</v>
      </c>
      <c r="C14" s="158"/>
      <c r="D14" s="166"/>
      <c r="E14" s="171"/>
      <c r="F14" s="174"/>
      <c r="G14" s="167"/>
      <c r="H14" s="160">
        <f>H15</f>
        <v>97545000</v>
      </c>
      <c r="I14" s="160">
        <f>H14*8%</f>
        <v>7803600</v>
      </c>
      <c r="J14" s="160">
        <f>H14+I14</f>
        <v>105348600</v>
      </c>
      <c r="K14" s="153"/>
    </row>
    <row r="15" spans="1:12" s="154" customFormat="1" ht="13.9">
      <c r="A15" s="48" t="s">
        <v>154</v>
      </c>
      <c r="B15" s="23" t="s">
        <v>232</v>
      </c>
      <c r="C15" s="113"/>
      <c r="D15" s="155"/>
      <c r="E15" s="172">
        <f>+(3+7.4+0.9+14.7+1.7+1.9)*2+7.8+2.6+69.75</f>
        <v>139.35</v>
      </c>
      <c r="F15" s="173" t="s">
        <v>188</v>
      </c>
      <c r="G15" s="168">
        <v>700000</v>
      </c>
      <c r="H15" s="152">
        <f>G15*E15</f>
        <v>97545000</v>
      </c>
      <c r="I15" s="152">
        <f>H15*8%</f>
        <v>7803600</v>
      </c>
      <c r="J15" s="152">
        <f>H15+I15</f>
        <v>105348600</v>
      </c>
      <c r="K15" s="153"/>
    </row>
    <row r="16" spans="1:12" s="165" customFormat="1" ht="13.5">
      <c r="A16" s="156">
        <v>4</v>
      </c>
      <c r="B16" s="157" t="s">
        <v>189</v>
      </c>
      <c r="C16" s="158" t="s">
        <v>152</v>
      </c>
      <c r="D16" s="166" t="e">
        <f>THKP!#REF!</f>
        <v>#REF!</v>
      </c>
      <c r="E16" s="171" t="s">
        <v>179</v>
      </c>
      <c r="F16" s="175"/>
      <c r="G16" s="167"/>
      <c r="H16" s="160">
        <f>SUM(H17:H18)</f>
        <v>256252500</v>
      </c>
      <c r="I16" s="160">
        <f>SUM(I17:I18)</f>
        <v>20500200</v>
      </c>
      <c r="J16" s="160">
        <f>SUM(J17:J18)</f>
        <v>276752700</v>
      </c>
      <c r="K16" s="164"/>
    </row>
    <row r="17" spans="1:11" s="20" customFormat="1" ht="27.75">
      <c r="A17" s="48" t="s">
        <v>155</v>
      </c>
      <c r="B17" s="23" t="s">
        <v>191</v>
      </c>
      <c r="C17" s="113"/>
      <c r="D17" s="155"/>
      <c r="E17" s="172">
        <f>7.5*24.7</f>
        <v>185.25</v>
      </c>
      <c r="F17" s="173" t="s">
        <v>85</v>
      </c>
      <c r="G17" s="168">
        <v>750000</v>
      </c>
      <c r="H17" s="152">
        <f t="shared" ref="H17:H18" si="1">G17*E17</f>
        <v>138937500</v>
      </c>
      <c r="I17" s="152">
        <f t="shared" ref="I17:I18" si="2">H17*8%</f>
        <v>11115000</v>
      </c>
      <c r="J17" s="152">
        <f t="shared" ref="J17:J18" si="3">H17+I17</f>
        <v>150052500</v>
      </c>
      <c r="K17" s="47"/>
    </row>
    <row r="18" spans="1:11" s="20" customFormat="1" ht="27.75">
      <c r="A18" s="48" t="s">
        <v>156</v>
      </c>
      <c r="B18" s="23" t="s">
        <v>190</v>
      </c>
      <c r="C18" s="113"/>
      <c r="D18" s="155"/>
      <c r="E18" s="172">
        <f>7.9*(3.3*6)</f>
        <v>156.41999999999999</v>
      </c>
      <c r="F18" s="173" t="s">
        <v>85</v>
      </c>
      <c r="G18" s="168">
        <v>750000</v>
      </c>
      <c r="H18" s="152">
        <f t="shared" si="1"/>
        <v>117314999.99999999</v>
      </c>
      <c r="I18" s="152">
        <f t="shared" si="2"/>
        <v>9385199.9999999981</v>
      </c>
      <c r="J18" s="152">
        <f t="shared" si="3"/>
        <v>126700199.99999999</v>
      </c>
      <c r="K18" s="47"/>
    </row>
    <row r="19" spans="1:11" s="165" customFormat="1" ht="13.5">
      <c r="A19" s="156">
        <v>5</v>
      </c>
      <c r="B19" s="157" t="s">
        <v>197</v>
      </c>
      <c r="C19" s="158"/>
      <c r="D19" s="166"/>
      <c r="E19" s="171"/>
      <c r="F19" s="176"/>
      <c r="G19" s="167"/>
      <c r="H19" s="160">
        <f>SUM(H20:H21)</f>
        <v>168436000</v>
      </c>
      <c r="I19" s="160">
        <f>SUM(I20:I21)</f>
        <v>13474879.999999998</v>
      </c>
      <c r="J19" s="160">
        <f>SUM(J20:J21)</f>
        <v>181910879.99999997</v>
      </c>
      <c r="K19" s="164"/>
    </row>
    <row r="20" spans="1:11" s="20" customFormat="1" ht="13.9">
      <c r="A20" s="48" t="s">
        <v>157</v>
      </c>
      <c r="B20" s="23" t="s">
        <v>199</v>
      </c>
      <c r="C20" s="113"/>
      <c r="D20" s="155"/>
      <c r="E20" s="172">
        <f>15.6*10.7</f>
        <v>166.92</v>
      </c>
      <c r="F20" s="173" t="s">
        <v>85</v>
      </c>
      <c r="G20" s="168">
        <v>800000</v>
      </c>
      <c r="H20" s="152">
        <f t="shared" ref="H20" si="4">G20*E20</f>
        <v>133535999.99999999</v>
      </c>
      <c r="I20" s="152">
        <f t="shared" ref="I20" si="5">H20*8%</f>
        <v>10682879.999999998</v>
      </c>
      <c r="J20" s="152">
        <f t="shared" ref="J20" si="6">H20+I20</f>
        <v>144218879.99999997</v>
      </c>
      <c r="K20" s="47"/>
    </row>
    <row r="21" spans="1:11" s="20" customFormat="1" ht="27.75">
      <c r="A21" s="48" t="s">
        <v>192</v>
      </c>
      <c r="B21" s="23" t="s">
        <v>200</v>
      </c>
      <c r="C21" s="113"/>
      <c r="D21" s="155"/>
      <c r="E21" s="172">
        <v>27.92</v>
      </c>
      <c r="F21" s="173" t="s">
        <v>85</v>
      </c>
      <c r="G21" s="168">
        <v>1250000</v>
      </c>
      <c r="H21" s="152">
        <f t="shared" ref="H21" si="7">G21*E21</f>
        <v>34900000</v>
      </c>
      <c r="I21" s="152">
        <f t="shared" ref="I21" si="8">H21*8%</f>
        <v>2792000</v>
      </c>
      <c r="J21" s="152">
        <f t="shared" ref="J21" si="9">H21+I21</f>
        <v>37692000</v>
      </c>
      <c r="K21" s="47"/>
    </row>
    <row r="22" spans="1:11" s="165" customFormat="1" ht="13.5">
      <c r="A22" s="156">
        <v>6</v>
      </c>
      <c r="B22" s="157" t="s">
        <v>201</v>
      </c>
      <c r="C22" s="158"/>
      <c r="D22" s="166"/>
      <c r="E22" s="171"/>
      <c r="F22" s="176"/>
      <c r="G22" s="167"/>
      <c r="H22" s="160">
        <f>SUM(H23:H25)</f>
        <v>103457000</v>
      </c>
      <c r="I22" s="160">
        <f>SUM(I23:I25)</f>
        <v>8276560</v>
      </c>
      <c r="J22" s="160">
        <f>SUM(J23:J25)</f>
        <v>111733560</v>
      </c>
      <c r="K22" s="164"/>
    </row>
    <row r="23" spans="1:11" s="20" customFormat="1" ht="27.75">
      <c r="A23" s="48" t="s">
        <v>193</v>
      </c>
      <c r="B23" s="23" t="s">
        <v>202</v>
      </c>
      <c r="C23" s="113"/>
      <c r="D23" s="155"/>
      <c r="E23" s="172">
        <f>+(3.6*4)*7.5</f>
        <v>108</v>
      </c>
      <c r="F23" s="173" t="s">
        <v>85</v>
      </c>
      <c r="G23" s="168">
        <v>700000</v>
      </c>
      <c r="H23" s="152">
        <f t="shared" ref="H23:H25" si="10">G23*E23</f>
        <v>75600000</v>
      </c>
      <c r="I23" s="152">
        <f t="shared" ref="I23:I25" si="11">H23*8%</f>
        <v>6048000</v>
      </c>
      <c r="J23" s="152">
        <f t="shared" ref="J23:J25" si="12">H23+I23</f>
        <v>81648000</v>
      </c>
      <c r="K23" s="47"/>
    </row>
    <row r="24" spans="1:11" s="20" customFormat="1" ht="13.9">
      <c r="A24" s="48" t="s">
        <v>198</v>
      </c>
      <c r="B24" s="23" t="s">
        <v>213</v>
      </c>
      <c r="C24" s="113"/>
      <c r="D24" s="155"/>
      <c r="E24" s="172">
        <f>+(2.9*2)*3.7</f>
        <v>21.46</v>
      </c>
      <c r="F24" s="173" t="s">
        <v>85</v>
      </c>
      <c r="G24" s="168">
        <v>450000</v>
      </c>
      <c r="H24" s="152">
        <f t="shared" ref="H24" si="13">G24*E24</f>
        <v>9657000</v>
      </c>
      <c r="I24" s="152">
        <f t="shared" ref="I24" si="14">H24*8%</f>
        <v>772560</v>
      </c>
      <c r="J24" s="152">
        <f t="shared" ref="J24" si="15">H24+I24</f>
        <v>10429560</v>
      </c>
      <c r="K24" s="47"/>
    </row>
    <row r="25" spans="1:11" s="20" customFormat="1" ht="13.9">
      <c r="A25" s="48" t="s">
        <v>222</v>
      </c>
      <c r="B25" s="23" t="s">
        <v>214</v>
      </c>
      <c r="C25" s="113"/>
      <c r="D25" s="155"/>
      <c r="E25" s="172">
        <f>9+15+4</f>
        <v>28</v>
      </c>
      <c r="F25" s="173" t="s">
        <v>85</v>
      </c>
      <c r="G25" s="168">
        <v>650000</v>
      </c>
      <c r="H25" s="152">
        <f t="shared" si="10"/>
        <v>18200000</v>
      </c>
      <c r="I25" s="152">
        <f t="shared" si="11"/>
        <v>1456000</v>
      </c>
      <c r="J25" s="152">
        <f t="shared" si="12"/>
        <v>19656000</v>
      </c>
      <c r="K25" s="47"/>
    </row>
    <row r="26" spans="1:11" s="20" customFormat="1" ht="16.5">
      <c r="A26" s="156">
        <v>7</v>
      </c>
      <c r="B26" s="207" t="s">
        <v>206</v>
      </c>
      <c r="C26" s="113"/>
      <c r="D26" s="155"/>
      <c r="E26" s="172"/>
      <c r="F26" s="173"/>
      <c r="G26" s="168"/>
      <c r="H26" s="160">
        <f>SUM(H27:H31)</f>
        <v>704198074.07407403</v>
      </c>
      <c r="I26" s="160">
        <f>SUM(I27:I31)</f>
        <v>56335845.925925925</v>
      </c>
      <c r="J26" s="160">
        <f>SUM(J27:J31)</f>
        <v>760533920</v>
      </c>
      <c r="K26" s="47"/>
    </row>
    <row r="27" spans="1:11" s="20" customFormat="1" ht="27.75">
      <c r="A27" s="48" t="s">
        <v>203</v>
      </c>
      <c r="B27" s="23" t="s">
        <v>191</v>
      </c>
      <c r="C27" s="113"/>
      <c r="D27" s="155"/>
      <c r="E27" s="172">
        <f>7.7*16.5</f>
        <v>127.05</v>
      </c>
      <c r="F27" s="173"/>
      <c r="G27" s="168">
        <v>800000</v>
      </c>
      <c r="H27" s="152">
        <f t="shared" ref="H27" si="16">G27*E27</f>
        <v>101640000</v>
      </c>
      <c r="I27" s="152">
        <f t="shared" ref="I27" si="17">H27*8%</f>
        <v>8131200</v>
      </c>
      <c r="J27" s="152">
        <f t="shared" ref="J27" si="18">H27+I27</f>
        <v>109771200</v>
      </c>
      <c r="K27" s="47"/>
    </row>
    <row r="28" spans="1:11" s="20" customFormat="1" ht="13.9">
      <c r="A28" s="48" t="s">
        <v>204</v>
      </c>
      <c r="B28" s="23" t="s">
        <v>217</v>
      </c>
      <c r="C28" s="113"/>
      <c r="D28" s="155"/>
      <c r="E28" s="172">
        <v>1</v>
      </c>
      <c r="F28" s="173" t="s">
        <v>207</v>
      </c>
      <c r="G28" s="168"/>
      <c r="H28" s="152">
        <f>J28/1.08</f>
        <v>324074074.07407403</v>
      </c>
      <c r="I28" s="152">
        <f t="shared" ref="I28:I30" si="19">H28*8%</f>
        <v>25925925.925925922</v>
      </c>
      <c r="J28" s="152">
        <v>350000000</v>
      </c>
      <c r="K28" s="47"/>
    </row>
    <row r="29" spans="1:11" s="20" customFormat="1" ht="36.75" customHeight="1">
      <c r="A29" s="48" t="s">
        <v>215</v>
      </c>
      <c r="B29" s="23" t="s">
        <v>216</v>
      </c>
      <c r="C29" s="113"/>
      <c r="D29" s="155"/>
      <c r="E29" s="172">
        <f>3.5*3.4</f>
        <v>11.9</v>
      </c>
      <c r="F29" s="173" t="s">
        <v>85</v>
      </c>
      <c r="G29" s="168">
        <v>3000000</v>
      </c>
      <c r="H29" s="152">
        <f t="shared" ref="H29:H30" si="20">G29*E29</f>
        <v>35700000</v>
      </c>
      <c r="I29" s="152">
        <f t="shared" si="19"/>
        <v>2856000</v>
      </c>
      <c r="J29" s="152">
        <f t="shared" ref="J29:J30" si="21">H29+I29</f>
        <v>38556000</v>
      </c>
      <c r="K29" s="47"/>
    </row>
    <row r="30" spans="1:11" s="20" customFormat="1" ht="27.75">
      <c r="A30" s="48" t="s">
        <v>219</v>
      </c>
      <c r="B30" s="23" t="s">
        <v>218</v>
      </c>
      <c r="C30" s="113"/>
      <c r="D30" s="155"/>
      <c r="E30" s="172">
        <f>+(6+1.8)*(3.6*6)</f>
        <v>168.48000000000002</v>
      </c>
      <c r="F30" s="173" t="s">
        <v>85</v>
      </c>
      <c r="G30" s="168">
        <v>800000</v>
      </c>
      <c r="H30" s="152">
        <f t="shared" si="20"/>
        <v>134784000</v>
      </c>
      <c r="I30" s="152">
        <f t="shared" si="19"/>
        <v>10782720</v>
      </c>
      <c r="J30" s="152">
        <f t="shared" si="21"/>
        <v>145566720</v>
      </c>
      <c r="K30" s="47"/>
    </row>
    <row r="31" spans="1:11" s="165" customFormat="1" ht="13.9">
      <c r="A31" s="48" t="s">
        <v>220</v>
      </c>
      <c r="B31" s="23" t="s">
        <v>221</v>
      </c>
      <c r="C31" s="113"/>
      <c r="D31" s="155"/>
      <c r="E31" s="172">
        <v>9</v>
      </c>
      <c r="F31" s="173" t="s">
        <v>85</v>
      </c>
      <c r="G31" s="168">
        <v>12000000</v>
      </c>
      <c r="H31" s="152">
        <f t="shared" ref="H31" si="22">G31*E31</f>
        <v>108000000</v>
      </c>
      <c r="I31" s="152">
        <f t="shared" ref="I31" si="23">H31*8%</f>
        <v>8640000</v>
      </c>
      <c r="J31" s="152">
        <f t="shared" ref="J31" si="24">H31+I31</f>
        <v>116640000</v>
      </c>
      <c r="K31" s="164"/>
    </row>
    <row r="32" spans="1:11" s="20" customFormat="1" ht="13.15">
      <c r="A32" s="150" t="s">
        <v>11</v>
      </c>
      <c r="B32" s="146" t="s">
        <v>12</v>
      </c>
      <c r="C32" s="26" t="s">
        <v>13</v>
      </c>
      <c r="D32" s="27" t="s">
        <v>13</v>
      </c>
      <c r="E32" s="177"/>
      <c r="F32" s="178"/>
      <c r="G32" s="24"/>
      <c r="H32" s="25"/>
      <c r="I32" s="25"/>
      <c r="J32" s="25"/>
      <c r="K32" s="47"/>
    </row>
    <row r="33" spans="1:11" s="20" customFormat="1" ht="18" customHeight="1">
      <c r="A33" s="150" t="s">
        <v>16</v>
      </c>
      <c r="B33" s="146" t="s">
        <v>182</v>
      </c>
      <c r="C33" s="26" t="s">
        <v>72</v>
      </c>
      <c r="D33" s="27" t="s">
        <v>18</v>
      </c>
      <c r="E33" s="177"/>
      <c r="F33" s="179"/>
      <c r="G33" s="27"/>
      <c r="H33" s="28">
        <f>SUM(H34:H36)</f>
        <v>143516893.88030574</v>
      </c>
      <c r="I33" s="28">
        <f>SUM(I34:I36)</f>
        <v>11481351.510424459</v>
      </c>
      <c r="J33" s="29">
        <f>SUM(J34:J36)</f>
        <v>154997000</v>
      </c>
      <c r="K33" s="19"/>
    </row>
    <row r="34" spans="1:11" s="16" customFormat="1" ht="18" customHeight="1">
      <c r="A34" s="49">
        <v>1</v>
      </c>
      <c r="B34" s="147" t="str">
        <f>THKP!B44</f>
        <v>Chi phí thẩm tra thiết kế BVTC</v>
      </c>
      <c r="C34" s="50" t="str">
        <f>THKP!K44</f>
        <v>Gxd*0,258%&gt;=2.000.000</v>
      </c>
      <c r="D34" s="51" t="s">
        <v>70</v>
      </c>
      <c r="E34" s="180"/>
      <c r="F34" s="181"/>
      <c r="G34" s="51"/>
      <c r="H34" s="25">
        <f>THKP!G44</f>
        <v>6609062.3511111103</v>
      </c>
      <c r="I34" s="25">
        <f>H34*8%</f>
        <v>528724.98808888881</v>
      </c>
      <c r="J34" s="25">
        <f>ROUND(((H34+I34)),-3)</f>
        <v>7138000</v>
      </c>
      <c r="K34" s="15"/>
    </row>
    <row r="35" spans="1:11" s="16" customFormat="1" ht="18" customHeight="1">
      <c r="A35" s="52">
        <v>2</v>
      </c>
      <c r="B35" s="148" t="str">
        <f>THKP!B45</f>
        <v>Chi phí thẩm tra dự toán công trình</v>
      </c>
      <c r="C35" s="53" t="str">
        <f>THKP!K45</f>
        <v>Gxd*0,25%&gt;=2.000.000</v>
      </c>
      <c r="D35" s="54" t="s">
        <v>71</v>
      </c>
      <c r="E35" s="182"/>
      <c r="F35" s="183"/>
      <c r="G35" s="54"/>
      <c r="H35" s="55">
        <f>THKP!G45</f>
        <v>6404130.1851851847</v>
      </c>
      <c r="I35" s="55">
        <f>H35*8%</f>
        <v>512330.41481481481</v>
      </c>
      <c r="J35" s="55">
        <f>ROUND(((H35+I35)),-3)</f>
        <v>6916000</v>
      </c>
      <c r="K35" s="15"/>
    </row>
    <row r="36" spans="1:11" ht="18" customHeight="1">
      <c r="A36" s="56">
        <v>3</v>
      </c>
      <c r="B36" s="149" t="str">
        <f>THKP!B43</f>
        <v>Chi phí lập báo cáo KTKT</v>
      </c>
      <c r="C36" s="57" t="s">
        <v>86</v>
      </c>
      <c r="D36" s="58" t="s">
        <v>149</v>
      </c>
      <c r="E36" s="184"/>
      <c r="F36" s="185"/>
      <c r="G36" s="58"/>
      <c r="H36" s="59">
        <f>THKP!G43</f>
        <v>130503701.34400944</v>
      </c>
      <c r="I36" s="59">
        <f>H36*8%</f>
        <v>10440296.107520755</v>
      </c>
      <c r="J36" s="59">
        <f>ROUNDDOWN(((H36+I36)),-3)</f>
        <v>140943000</v>
      </c>
    </row>
    <row r="37" spans="1:11" ht="27.75" customHeight="1">
      <c r="A37" s="31"/>
      <c r="B37" s="32"/>
      <c r="C37" s="33"/>
      <c r="D37" s="34"/>
      <c r="E37" s="34"/>
      <c r="F37" s="34"/>
      <c r="G37" s="34"/>
      <c r="H37" s="35"/>
      <c r="I37" s="35"/>
      <c r="J37" s="35"/>
    </row>
    <row r="38" spans="1:11">
      <c r="A38" s="31"/>
      <c r="B38" s="32"/>
      <c r="C38" s="33"/>
      <c r="D38" s="34"/>
      <c r="E38" s="34"/>
      <c r="F38" s="34"/>
      <c r="G38" s="34"/>
      <c r="H38" s="35"/>
      <c r="I38" s="35"/>
      <c r="J38" s="35"/>
    </row>
    <row r="39" spans="1:11">
      <c r="A39" s="31"/>
      <c r="B39" s="32"/>
      <c r="C39" s="33"/>
      <c r="D39" s="34"/>
      <c r="E39" s="34"/>
      <c r="F39" s="34"/>
      <c r="G39" s="34"/>
      <c r="H39" s="35"/>
      <c r="I39" s="35"/>
      <c r="J39" s="35"/>
    </row>
    <row r="40" spans="1:11">
      <c r="A40" s="31"/>
      <c r="B40" s="32"/>
      <c r="C40" s="33"/>
      <c r="D40" s="34"/>
      <c r="E40" s="34"/>
      <c r="F40" s="34"/>
      <c r="G40" s="34"/>
      <c r="H40" s="35"/>
      <c r="I40" s="35"/>
      <c r="J40" s="35"/>
    </row>
    <row r="41" spans="1:11">
      <c r="A41" s="31"/>
      <c r="B41" s="32"/>
      <c r="C41" s="33"/>
      <c r="D41" s="34"/>
      <c r="E41" s="34"/>
      <c r="F41" s="34"/>
      <c r="G41" s="34"/>
      <c r="H41" s="35"/>
      <c r="I41" s="35"/>
      <c r="J41" s="35"/>
    </row>
    <row r="42" spans="1:11">
      <c r="A42" s="31"/>
      <c r="B42" s="32"/>
      <c r="C42" s="33"/>
      <c r="D42" s="34"/>
      <c r="E42" s="34"/>
      <c r="F42" s="34"/>
      <c r="G42" s="34"/>
      <c r="H42" s="35"/>
      <c r="I42" s="35"/>
      <c r="J42" s="35"/>
    </row>
    <row r="43" spans="1:11">
      <c r="A43" s="31"/>
      <c r="B43" s="32"/>
      <c r="C43" s="33"/>
      <c r="D43" s="34"/>
      <c r="E43" s="34"/>
      <c r="F43" s="34"/>
      <c r="G43" s="34"/>
      <c r="H43" s="35"/>
      <c r="I43" s="35"/>
      <c r="J43" s="35"/>
    </row>
    <row r="44" spans="1:11">
      <c r="A44" s="31"/>
      <c r="B44" s="32"/>
      <c r="C44" s="33"/>
      <c r="D44" s="34"/>
      <c r="E44" s="34"/>
      <c r="F44" s="34"/>
      <c r="G44" s="34"/>
      <c r="H44" s="35"/>
      <c r="I44" s="35"/>
      <c r="J44" s="35"/>
    </row>
    <row r="45" spans="1:11">
      <c r="A45" s="31"/>
      <c r="B45" s="32"/>
      <c r="C45" s="33"/>
      <c r="D45" s="34"/>
      <c r="E45" s="34"/>
      <c r="F45" s="34"/>
      <c r="G45" s="34"/>
      <c r="H45" s="35"/>
      <c r="I45" s="35"/>
      <c r="J45" s="35"/>
    </row>
    <row r="46" spans="1:11">
      <c r="A46" s="31"/>
      <c r="B46" s="32"/>
      <c r="C46" s="33"/>
      <c r="D46" s="34"/>
      <c r="E46" s="34"/>
      <c r="F46" s="34"/>
      <c r="G46" s="34"/>
      <c r="H46" s="35"/>
      <c r="I46" s="35"/>
      <c r="J46" s="35"/>
    </row>
    <row r="47" spans="1:11">
      <c r="A47" s="31"/>
      <c r="B47" s="32"/>
      <c r="C47" s="33"/>
      <c r="D47" s="34"/>
      <c r="E47" s="34"/>
      <c r="F47" s="34"/>
      <c r="G47" s="34"/>
      <c r="H47" s="35"/>
      <c r="I47" s="35"/>
      <c r="J47" s="35"/>
    </row>
    <row r="48" spans="1:11">
      <c r="A48" s="31"/>
      <c r="B48" s="32"/>
      <c r="C48" s="33"/>
      <c r="D48" s="34"/>
      <c r="E48" s="34"/>
      <c r="F48" s="34"/>
      <c r="G48" s="34"/>
      <c r="H48" s="35"/>
      <c r="I48" s="35"/>
      <c r="J48" s="35"/>
    </row>
    <row r="49" spans="1:10">
      <c r="A49" s="31"/>
      <c r="B49" s="32"/>
      <c r="C49" s="33"/>
      <c r="D49" s="34"/>
      <c r="E49" s="34"/>
      <c r="F49" s="34"/>
      <c r="G49" s="34"/>
      <c r="H49" s="35"/>
      <c r="I49" s="35"/>
      <c r="J49" s="35"/>
    </row>
    <row r="50" spans="1:10">
      <c r="A50" s="31"/>
      <c r="B50" s="32"/>
      <c r="C50" s="33"/>
      <c r="D50" s="34"/>
      <c r="E50" s="34"/>
      <c r="F50" s="34"/>
      <c r="G50" s="34"/>
      <c r="H50" s="35"/>
      <c r="I50" s="35"/>
      <c r="J50" s="35"/>
    </row>
    <row r="51" spans="1:10">
      <c r="A51" s="31"/>
      <c r="B51" s="32"/>
      <c r="C51" s="33"/>
      <c r="D51" s="34"/>
      <c r="E51" s="34"/>
      <c r="F51" s="34"/>
      <c r="G51" s="34"/>
      <c r="H51" s="35"/>
      <c r="I51" s="35"/>
      <c r="J51" s="35"/>
    </row>
    <row r="52" spans="1:10">
      <c r="A52" s="31"/>
      <c r="B52" s="32"/>
      <c r="C52" s="33"/>
      <c r="D52" s="34"/>
      <c r="E52" s="34"/>
      <c r="F52" s="34"/>
      <c r="G52" s="34"/>
      <c r="H52" s="35"/>
      <c r="I52" s="35"/>
      <c r="J52" s="35"/>
    </row>
    <row r="53" spans="1:10" ht="15.4">
      <c r="A53" s="31"/>
      <c r="B53" s="32"/>
      <c r="C53" s="33"/>
      <c r="D53" s="34"/>
      <c r="E53" s="34"/>
      <c r="F53" s="34"/>
      <c r="G53" s="36"/>
      <c r="H53" s="37"/>
      <c r="I53" s="35"/>
      <c r="J53" s="35"/>
    </row>
    <row r="54" spans="1:10" ht="15.4">
      <c r="A54" s="31"/>
      <c r="B54" s="32"/>
      <c r="C54" s="33"/>
      <c r="D54" s="34"/>
      <c r="E54" s="34"/>
      <c r="F54" s="34"/>
      <c r="G54" s="36"/>
      <c r="H54" s="37"/>
      <c r="I54" s="35"/>
      <c r="J54" s="35"/>
    </row>
    <row r="55" spans="1:10" ht="15.4">
      <c r="A55" s="31"/>
      <c r="B55" s="32"/>
      <c r="C55" s="33"/>
      <c r="D55" s="34"/>
      <c r="E55" s="34"/>
      <c r="F55" s="34"/>
      <c r="G55" s="36"/>
      <c r="H55" s="37"/>
      <c r="I55" s="35"/>
      <c r="J55" s="35"/>
    </row>
    <row r="56" spans="1:10" ht="15.4">
      <c r="A56" s="31"/>
      <c r="B56" s="32"/>
      <c r="C56" s="33"/>
      <c r="D56" s="34"/>
      <c r="E56" s="34"/>
      <c r="F56" s="34"/>
      <c r="G56" s="36"/>
      <c r="H56" s="37"/>
      <c r="I56" s="35"/>
      <c r="J56" s="35"/>
    </row>
    <row r="57" spans="1:10" ht="15.4">
      <c r="A57" s="31"/>
      <c r="B57" s="32"/>
      <c r="C57" s="33"/>
      <c r="D57" s="34"/>
      <c r="E57" s="34"/>
      <c r="F57" s="34"/>
      <c r="G57" s="36"/>
      <c r="H57" s="38"/>
      <c r="I57" s="35"/>
      <c r="J57" s="35"/>
    </row>
    <row r="58" spans="1:10" ht="15.4">
      <c r="A58" s="39"/>
      <c r="B58" s="30"/>
      <c r="C58" s="40"/>
      <c r="H58" s="37"/>
      <c r="I58" s="40"/>
      <c r="J58" s="41"/>
    </row>
    <row r="59" spans="1:10" ht="15.4">
      <c r="A59" s="39"/>
      <c r="B59" s="30"/>
      <c r="H59" s="38"/>
      <c r="I59"/>
      <c r="J59" s="41"/>
    </row>
    <row r="60" spans="1:10" ht="15.4">
      <c r="A60" s="39"/>
      <c r="B60" s="30"/>
      <c r="H60" s="38"/>
      <c r="I60"/>
      <c r="J60" s="41"/>
    </row>
    <row r="61" spans="1:10" ht="15.4">
      <c r="A61" s="39"/>
      <c r="B61" s="42"/>
      <c r="C61" s="42"/>
      <c r="H61" s="37"/>
      <c r="I61" s="42"/>
      <c r="J61" s="41"/>
    </row>
    <row r="62" spans="1:10" ht="15.4">
      <c r="A62" s="39"/>
      <c r="B62" s="42"/>
      <c r="C62" s="42"/>
      <c r="H62" s="37"/>
      <c r="I62"/>
      <c r="J62" s="41"/>
    </row>
    <row r="63" spans="1:10" ht="15.4">
      <c r="H63" s="37"/>
    </row>
    <row r="64" spans="1:10" ht="15.4">
      <c r="H64" s="37"/>
    </row>
    <row r="66" spans="3:7" ht="15.4">
      <c r="C66" s="37"/>
      <c r="G66" s="36"/>
    </row>
    <row r="67" spans="3:7" ht="15.4">
      <c r="C67" s="37"/>
      <c r="G67" s="36"/>
    </row>
    <row r="68" spans="3:7" ht="15.4">
      <c r="C68" s="37"/>
      <c r="G68" s="36"/>
    </row>
    <row r="69" spans="3:7" ht="15.4">
      <c r="C69" s="37"/>
      <c r="G69" s="36"/>
    </row>
    <row r="70" spans="3:7" ht="15.4">
      <c r="C70" s="37"/>
      <c r="G70" s="36"/>
    </row>
    <row r="71" spans="3:7" ht="15.4">
      <c r="C71" s="37"/>
      <c r="G71" s="45"/>
    </row>
    <row r="72" spans="3:7" ht="15.4">
      <c r="C72" s="37"/>
    </row>
    <row r="73" spans="3:7" ht="15.4">
      <c r="C73" s="37"/>
    </row>
    <row r="74" spans="3:7" ht="15.4">
      <c r="C74" s="37"/>
    </row>
    <row r="75" spans="3:7" ht="16.5">
      <c r="C75" s="37"/>
      <c r="G75" s="46"/>
    </row>
    <row r="76" spans="3:7" ht="15.4">
      <c r="C76" s="37"/>
      <c r="G76" s="45"/>
    </row>
    <row r="77" spans="3:7" ht="15.4">
      <c r="C77" s="45"/>
      <c r="G77" s="45"/>
    </row>
    <row r="78" spans="3:7" ht="15.4">
      <c r="C78" s="45"/>
      <c r="G78" s="45"/>
    </row>
    <row r="79" spans="3:7" ht="15.4">
      <c r="G79" s="45"/>
    </row>
  </sheetData>
  <mergeCells count="13">
    <mergeCell ref="E8:F8"/>
    <mergeCell ref="H5:H6"/>
    <mergeCell ref="I5:I6"/>
    <mergeCell ref="J5:J6"/>
    <mergeCell ref="A1:J1"/>
    <mergeCell ref="A2:J2"/>
    <mergeCell ref="A3:J3"/>
    <mergeCell ref="A5:A6"/>
    <mergeCell ref="B5:B6"/>
    <mergeCell ref="C5:C6"/>
    <mergeCell ref="D5:D6"/>
    <mergeCell ref="G5:G6"/>
    <mergeCell ref="E5:F6"/>
  </mergeCells>
  <pageMargins left="0.73" right="0.15" top="1.07" bottom="0.75" header="0.3" footer="0.3"/>
  <pageSetup paperSize="9" scale="96" orientation="landscape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5:G11"/>
  <sheetViews>
    <sheetView workbookViewId="0">
      <selection activeCell="E11" sqref="E11"/>
    </sheetView>
  </sheetViews>
  <sheetFormatPr defaultColWidth="9" defaultRowHeight="13.9"/>
  <cols>
    <col min="1" max="3" width="9" style="62"/>
    <col min="4" max="4" width="22.86328125" style="62" customWidth="1"/>
    <col min="5" max="6" width="15.53125" style="62" customWidth="1"/>
    <col min="7" max="16384" width="9" style="62"/>
  </cols>
  <sheetData>
    <row r="5" spans="3:7" ht="60">
      <c r="C5" s="60" t="s">
        <v>45</v>
      </c>
      <c r="D5" s="60" t="s">
        <v>73</v>
      </c>
      <c r="E5" s="61" t="s">
        <v>74</v>
      </c>
      <c r="F5" s="61" t="s">
        <v>75</v>
      </c>
      <c r="G5" s="61" t="s">
        <v>76</v>
      </c>
    </row>
    <row r="6" spans="3:7" ht="15.4">
      <c r="C6" s="63">
        <v>1</v>
      </c>
      <c r="D6" s="64" t="s">
        <v>77</v>
      </c>
      <c r="E6" s="65">
        <f>THKP!I16</f>
        <v>2766584240</v>
      </c>
      <c r="F6" s="65">
        <f t="shared" ref="F6:F11" si="0">E6</f>
        <v>2766584240</v>
      </c>
      <c r="G6" s="66">
        <f t="shared" ref="G6:G11" si="1">F6-E6</f>
        <v>0</v>
      </c>
    </row>
    <row r="7" spans="3:7" ht="15.4">
      <c r="C7" s="63">
        <v>2</v>
      </c>
      <c r="D7" s="64" t="s">
        <v>78</v>
      </c>
      <c r="E7" s="65">
        <f>THKP!I41</f>
        <v>119170616.13800001</v>
      </c>
      <c r="F7" s="65">
        <f t="shared" si="0"/>
        <v>119170616.13800001</v>
      </c>
      <c r="G7" s="66">
        <f t="shared" si="1"/>
        <v>0</v>
      </c>
    </row>
    <row r="8" spans="3:7" ht="15.4">
      <c r="C8" s="63">
        <v>3</v>
      </c>
      <c r="D8" s="64" t="s">
        <v>79</v>
      </c>
      <c r="E8" s="65">
        <f>THKP!I42</f>
        <v>276008641</v>
      </c>
      <c r="F8" s="65">
        <f t="shared" si="0"/>
        <v>276008641</v>
      </c>
      <c r="G8" s="66">
        <f t="shared" si="1"/>
        <v>0</v>
      </c>
    </row>
    <row r="9" spans="3:7" ht="15.4">
      <c r="C9" s="63">
        <v>4</v>
      </c>
      <c r="D9" s="64" t="s">
        <v>80</v>
      </c>
      <c r="E9" s="65">
        <f>THKP!I48</f>
        <v>30116380</v>
      </c>
      <c r="F9" s="65">
        <f t="shared" si="0"/>
        <v>30116380</v>
      </c>
      <c r="G9" s="66">
        <f t="shared" si="1"/>
        <v>0</v>
      </c>
    </row>
    <row r="10" spans="3:7" ht="15.4">
      <c r="C10" s="63">
        <v>5</v>
      </c>
      <c r="D10" s="64" t="s">
        <v>81</v>
      </c>
      <c r="E10" s="65">
        <f>THKP!I53</f>
        <v>108120122.86199999</v>
      </c>
      <c r="F10" s="65">
        <f t="shared" si="0"/>
        <v>108120122.86199999</v>
      </c>
      <c r="G10" s="66">
        <f t="shared" si="1"/>
        <v>0</v>
      </c>
    </row>
    <row r="11" spans="3:7" ht="15.4">
      <c r="C11" s="64"/>
      <c r="D11" s="67" t="s">
        <v>82</v>
      </c>
      <c r="E11" s="68">
        <f>SUM(E6:E10)</f>
        <v>3300000000</v>
      </c>
      <c r="F11" s="68">
        <f t="shared" si="0"/>
        <v>3300000000</v>
      </c>
      <c r="G11" s="69">
        <f t="shared" si="1"/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N51"/>
  <sheetViews>
    <sheetView topLeftCell="A40" zoomScaleNormal="100" workbookViewId="0">
      <selection activeCell="D28" sqref="D28"/>
    </sheetView>
  </sheetViews>
  <sheetFormatPr defaultColWidth="8" defaultRowHeight="15.4"/>
  <cols>
    <col min="1" max="1" width="8" style="2"/>
    <col min="2" max="2" width="8" style="70"/>
    <col min="3" max="3" width="42.1328125" style="2" customWidth="1"/>
    <col min="4" max="4" width="19.86328125" style="2" customWidth="1"/>
    <col min="5" max="5" width="13.86328125" style="2" customWidth="1"/>
    <col min="6" max="6" width="12.46484375" style="2" customWidth="1"/>
    <col min="7" max="7" width="9.53125" style="2" customWidth="1"/>
    <col min="8" max="8" width="13" style="1" customWidth="1"/>
    <col min="9" max="9" width="13" style="2" customWidth="1"/>
    <col min="10" max="16384" width="8" style="2"/>
  </cols>
  <sheetData>
    <row r="5" spans="2:9" ht="17.25">
      <c r="B5" s="71" t="s">
        <v>87</v>
      </c>
    </row>
    <row r="6" spans="2:9" ht="17.25">
      <c r="B6" s="72"/>
    </row>
    <row r="7" spans="2:9" ht="82.5">
      <c r="B7" s="73" t="s">
        <v>45</v>
      </c>
      <c r="C7" s="74" t="s">
        <v>88</v>
      </c>
      <c r="D7" s="74" t="s">
        <v>89</v>
      </c>
      <c r="E7" s="74" t="s">
        <v>90</v>
      </c>
      <c r="F7" s="74" t="s">
        <v>91</v>
      </c>
      <c r="G7" s="74" t="s">
        <v>92</v>
      </c>
      <c r="H7" s="75" t="s">
        <v>93</v>
      </c>
      <c r="I7" s="76"/>
    </row>
    <row r="8" spans="2:9" ht="49.5">
      <c r="B8" s="77">
        <v>1</v>
      </c>
      <c r="C8" s="78" t="s">
        <v>94</v>
      </c>
      <c r="D8" s="74" t="s">
        <v>95</v>
      </c>
      <c r="E8" s="79">
        <f>CBDT!J36</f>
        <v>140943000</v>
      </c>
      <c r="F8" s="80" t="s">
        <v>96</v>
      </c>
      <c r="G8" s="80" t="s">
        <v>97</v>
      </c>
      <c r="H8" s="298"/>
    </row>
    <row r="9" spans="2:9" ht="49.5">
      <c r="B9" s="77">
        <v>2</v>
      </c>
      <c r="C9" s="78" t="s">
        <v>98</v>
      </c>
      <c r="D9" s="74" t="s">
        <v>99</v>
      </c>
      <c r="E9" s="79">
        <f>[1]THKP!E30+[1]THKP!E31</f>
        <v>4400000</v>
      </c>
      <c r="F9" s="80" t="s">
        <v>96</v>
      </c>
      <c r="G9" s="80" t="s">
        <v>100</v>
      </c>
      <c r="H9" s="299"/>
    </row>
    <row r="10" spans="2:9" ht="17.649999999999999">
      <c r="B10" s="300" t="s">
        <v>82</v>
      </c>
      <c r="C10" s="301"/>
      <c r="D10" s="302"/>
      <c r="E10" s="81">
        <f>SUM(E8:E9)</f>
        <v>145343000</v>
      </c>
      <c r="F10" s="82"/>
      <c r="G10" s="82"/>
      <c r="H10" s="83"/>
    </row>
    <row r="11" spans="2:9" ht="17.649999999999999">
      <c r="B11" s="72"/>
      <c r="C11" s="84"/>
      <c r="D11" s="84"/>
      <c r="E11" s="84"/>
      <c r="F11" s="84"/>
      <c r="G11" s="84"/>
      <c r="H11" s="85"/>
    </row>
    <row r="12" spans="2:9" ht="17.649999999999999">
      <c r="B12" s="71" t="s">
        <v>101</v>
      </c>
      <c r="C12"/>
      <c r="D12"/>
      <c r="E12"/>
      <c r="F12" s="84"/>
      <c r="G12" s="84"/>
      <c r="H12" s="85"/>
    </row>
    <row r="13" spans="2:9" ht="33">
      <c r="B13" s="86" t="s">
        <v>45</v>
      </c>
      <c r="C13" s="86" t="s">
        <v>88</v>
      </c>
      <c r="D13" s="86" t="s">
        <v>89</v>
      </c>
      <c r="E13" s="86" t="s">
        <v>102</v>
      </c>
      <c r="F13" s="84"/>
      <c r="G13" s="84"/>
      <c r="H13" s="85"/>
    </row>
    <row r="14" spans="2:9" ht="17.649999999999999">
      <c r="B14" s="73">
        <v>1</v>
      </c>
      <c r="C14" s="87" t="s">
        <v>103</v>
      </c>
      <c r="D14" s="294" t="s">
        <v>104</v>
      </c>
      <c r="E14" s="88" t="e">
        <f>THKP!#REF!</f>
        <v>#REF!</v>
      </c>
      <c r="F14" s="84"/>
      <c r="G14" s="84"/>
      <c r="H14" s="85"/>
    </row>
    <row r="15" spans="2:9" ht="17.649999999999999">
      <c r="B15" s="73">
        <v>2</v>
      </c>
      <c r="C15" s="87" t="s">
        <v>105</v>
      </c>
      <c r="D15" s="294"/>
      <c r="E15" s="88" t="e">
        <f>THKP!#REF!</f>
        <v>#REF!</v>
      </c>
      <c r="F15" s="84"/>
      <c r="G15" s="84"/>
      <c r="H15" s="85"/>
    </row>
    <row r="16" spans="2:9" ht="33">
      <c r="B16" s="73">
        <v>3</v>
      </c>
      <c r="C16" s="87" t="s">
        <v>106</v>
      </c>
      <c r="D16" s="73" t="s">
        <v>107</v>
      </c>
      <c r="E16" s="88">
        <f>THKP!I49</f>
        <v>12492664.834844444</v>
      </c>
      <c r="F16" s="84"/>
      <c r="G16" s="84"/>
      <c r="H16" s="85"/>
    </row>
    <row r="17" spans="2:10" ht="33">
      <c r="B17" s="73">
        <v>4</v>
      </c>
      <c r="C17" s="87" t="s">
        <v>108</v>
      </c>
      <c r="D17" s="73" t="s">
        <v>107</v>
      </c>
      <c r="E17" s="88">
        <f>THKP!I51</f>
        <v>17623715.2996866</v>
      </c>
      <c r="F17" s="84"/>
      <c r="G17" s="84"/>
      <c r="H17" s="85"/>
    </row>
    <row r="18" spans="2:10" ht="33">
      <c r="B18" s="73">
        <v>5</v>
      </c>
      <c r="C18" s="87" t="s">
        <v>81</v>
      </c>
      <c r="D18" s="73" t="s">
        <v>107</v>
      </c>
      <c r="E18" s="88">
        <f>THKP!I53</f>
        <v>108120122.86199999</v>
      </c>
      <c r="F18" s="84"/>
      <c r="G18" s="84"/>
      <c r="H18" s="85"/>
    </row>
    <row r="19" spans="2:10" ht="17.649999999999999">
      <c r="B19" s="303" t="s">
        <v>109</v>
      </c>
      <c r="C19" s="304"/>
      <c r="D19" s="82"/>
      <c r="E19" s="81" t="e">
        <f>SUM(E14:E18)</f>
        <v>#REF!</v>
      </c>
      <c r="F19" s="84"/>
      <c r="G19" s="84"/>
      <c r="H19" s="85"/>
    </row>
    <row r="20" spans="2:10" ht="17.649999999999999">
      <c r="B20" s="72"/>
      <c r="C20" s="84"/>
      <c r="D20" s="84"/>
      <c r="E20" s="84"/>
      <c r="F20" s="84"/>
      <c r="G20" s="84"/>
      <c r="H20" s="85"/>
    </row>
    <row r="21" spans="2:10" ht="17.649999999999999">
      <c r="B21" s="72"/>
      <c r="C21" s="84"/>
      <c r="D21" s="84"/>
      <c r="E21" s="84"/>
      <c r="F21" s="84"/>
      <c r="G21" s="84"/>
      <c r="H21" s="85"/>
    </row>
    <row r="22" spans="2:10" ht="17.25">
      <c r="B22" s="89" t="s">
        <v>110</v>
      </c>
    </row>
    <row r="23" spans="2:10" ht="86.25">
      <c r="B23" s="86" t="s">
        <v>45</v>
      </c>
      <c r="C23" s="86" t="s">
        <v>111</v>
      </c>
      <c r="D23" s="86" t="s">
        <v>112</v>
      </c>
      <c r="E23" s="86" t="s">
        <v>113</v>
      </c>
      <c r="F23" s="86" t="s">
        <v>114</v>
      </c>
      <c r="G23" s="86" t="s">
        <v>115</v>
      </c>
      <c r="H23" s="90" t="s">
        <v>116</v>
      </c>
      <c r="I23" s="86" t="s">
        <v>92</v>
      </c>
      <c r="J23" s="90" t="s">
        <v>117</v>
      </c>
    </row>
    <row r="24" spans="2:10" ht="16.5">
      <c r="B24" s="73">
        <v>1</v>
      </c>
      <c r="C24" s="91" t="s">
        <v>118</v>
      </c>
      <c r="D24" s="92" t="e">
        <f>ROUNDDOWN(THKP!I16+THKP!#REF!,-3)</f>
        <v>#REF!</v>
      </c>
      <c r="E24" s="294" t="s">
        <v>119</v>
      </c>
      <c r="F24" s="294" t="s">
        <v>120</v>
      </c>
      <c r="G24" s="294" t="s">
        <v>121</v>
      </c>
      <c r="H24" s="294" t="s">
        <v>122</v>
      </c>
      <c r="I24" s="73" t="s">
        <v>123</v>
      </c>
      <c r="J24" s="294" t="s">
        <v>96</v>
      </c>
    </row>
    <row r="25" spans="2:10" ht="16.5">
      <c r="B25" s="73">
        <v>2</v>
      </c>
      <c r="C25" s="91" t="s">
        <v>124</v>
      </c>
      <c r="D25" s="92">
        <f>ROUNDDOWN(THKP!I41,-3)</f>
        <v>119170000</v>
      </c>
      <c r="E25" s="294"/>
      <c r="F25" s="294"/>
      <c r="G25" s="294"/>
      <c r="H25" s="294"/>
      <c r="I25" s="294" t="s">
        <v>125</v>
      </c>
      <c r="J25" s="294"/>
    </row>
    <row r="26" spans="2:10" ht="16.5">
      <c r="B26" s="73">
        <v>3</v>
      </c>
      <c r="C26" s="91" t="s">
        <v>126</v>
      </c>
      <c r="D26" s="92">
        <f>ROUNDDOWN(THKP!I46,-3)</f>
        <v>109058000</v>
      </c>
      <c r="E26" s="294"/>
      <c r="F26" s="294"/>
      <c r="G26" s="294"/>
      <c r="H26" s="294"/>
      <c r="I26" s="294"/>
      <c r="J26" s="294"/>
    </row>
    <row r="27" spans="2:10" ht="16.5">
      <c r="B27" s="290" t="s">
        <v>82</v>
      </c>
      <c r="C27" s="290"/>
      <c r="D27" s="93" t="e">
        <f>SUM(D24:D26)</f>
        <v>#REF!</v>
      </c>
      <c r="E27" s="94"/>
      <c r="F27" s="73"/>
      <c r="G27" s="73"/>
      <c r="H27" s="94"/>
      <c r="I27" s="73"/>
      <c r="J27" s="73"/>
    </row>
    <row r="31" spans="2:10" ht="17.25">
      <c r="B31" s="71" t="s">
        <v>127</v>
      </c>
      <c r="C31"/>
      <c r="D31"/>
    </row>
    <row r="32" spans="2:10" ht="17.25">
      <c r="B32" s="95" t="s">
        <v>45</v>
      </c>
      <c r="C32" s="95" t="s">
        <v>128</v>
      </c>
      <c r="D32" s="95" t="s">
        <v>129</v>
      </c>
    </row>
    <row r="33" spans="2:14" ht="17.649999999999999">
      <c r="B33" s="96">
        <v>1</v>
      </c>
      <c r="C33" s="97" t="s">
        <v>130</v>
      </c>
      <c r="D33" s="98">
        <f>E8+E9</f>
        <v>145343000</v>
      </c>
    </row>
    <row r="34" spans="2:14" ht="52.9">
      <c r="B34" s="96">
        <v>2</v>
      </c>
      <c r="C34" s="99" t="s">
        <v>131</v>
      </c>
      <c r="D34" s="98" t="e">
        <f>E19</f>
        <v>#REF!</v>
      </c>
    </row>
    <row r="35" spans="2:14" ht="35.25">
      <c r="B35" s="96">
        <v>3</v>
      </c>
      <c r="C35" s="99" t="s">
        <v>132</v>
      </c>
      <c r="D35" s="98" t="e">
        <f>D27</f>
        <v>#REF!</v>
      </c>
    </row>
    <row r="36" spans="2:14" ht="35.25">
      <c r="B36" s="96">
        <v>4</v>
      </c>
      <c r="C36" s="99" t="s">
        <v>133</v>
      </c>
      <c r="D36" s="100">
        <v>0</v>
      </c>
    </row>
    <row r="37" spans="2:14" ht="17.25">
      <c r="B37" s="291" t="s">
        <v>134</v>
      </c>
      <c r="C37" s="291"/>
      <c r="D37" s="101" t="e">
        <f>SUM(D33:D36)</f>
        <v>#REF!</v>
      </c>
    </row>
    <row r="40" spans="2:14" ht="17.25">
      <c r="B40" s="292" t="s">
        <v>135</v>
      </c>
      <c r="C40" s="292"/>
      <c r="D40" s="292"/>
      <c r="E40" s="292"/>
      <c r="F40" s="292"/>
      <c r="G40" s="292"/>
      <c r="H40" s="292"/>
      <c r="I40" s="292"/>
      <c r="J40" s="292"/>
    </row>
    <row r="41" spans="2:14" ht="17.649999999999999">
      <c r="B41" s="297" t="s">
        <v>136</v>
      </c>
      <c r="C41" s="297"/>
      <c r="D41" s="297"/>
      <c r="E41" s="297"/>
      <c r="F41" s="297"/>
      <c r="G41" s="297"/>
      <c r="H41" s="297"/>
      <c r="I41" s="297"/>
      <c r="J41" s="297"/>
    </row>
    <row r="42" spans="2:14" ht="17.649999999999999">
      <c r="B42" s="102"/>
      <c r="C42" s="102"/>
      <c r="D42" s="102"/>
      <c r="E42" s="102"/>
      <c r="F42" s="102"/>
      <c r="G42" s="102"/>
      <c r="H42" s="102"/>
      <c r="I42" s="102"/>
      <c r="J42" s="102"/>
    </row>
    <row r="43" spans="2:14" ht="103.5">
      <c r="B43" s="103" t="s">
        <v>45</v>
      </c>
      <c r="C43" s="103" t="s">
        <v>111</v>
      </c>
      <c r="D43" s="103" t="s">
        <v>137</v>
      </c>
      <c r="E43" s="103" t="s">
        <v>113</v>
      </c>
      <c r="F43" s="104" t="s">
        <v>114</v>
      </c>
      <c r="G43" s="104" t="s">
        <v>115</v>
      </c>
      <c r="H43" s="104" t="s">
        <v>138</v>
      </c>
      <c r="I43" s="104" t="s">
        <v>117</v>
      </c>
      <c r="J43" s="104" t="s">
        <v>92</v>
      </c>
      <c r="K43" s="105"/>
      <c r="L43" s="105"/>
      <c r="M43" s="105"/>
      <c r="N43" s="105"/>
    </row>
    <row r="44" spans="2:14" ht="45.75" customHeight="1">
      <c r="B44" s="106">
        <v>1</v>
      </c>
      <c r="C44" s="107" t="s">
        <v>139</v>
      </c>
      <c r="D44" s="108" t="e">
        <f>D24</f>
        <v>#REF!</v>
      </c>
      <c r="E44" s="293" t="s">
        <v>119</v>
      </c>
      <c r="F44" s="293" t="s">
        <v>140</v>
      </c>
      <c r="G44" s="293" t="s">
        <v>141</v>
      </c>
      <c r="H44" s="293" t="s">
        <v>142</v>
      </c>
      <c r="I44" s="293" t="s">
        <v>96</v>
      </c>
      <c r="J44" s="109" t="s">
        <v>143</v>
      </c>
    </row>
    <row r="45" spans="2:14" ht="38.25" customHeight="1">
      <c r="B45" s="106">
        <v>2</v>
      </c>
      <c r="C45" s="107" t="s">
        <v>144</v>
      </c>
      <c r="D45" s="108">
        <f>D25</f>
        <v>119170000</v>
      </c>
      <c r="E45" s="293"/>
      <c r="F45" s="293"/>
      <c r="G45" s="293"/>
      <c r="H45" s="293"/>
      <c r="I45" s="293"/>
      <c r="J45" s="295" t="s">
        <v>125</v>
      </c>
    </row>
    <row r="46" spans="2:14" ht="38.25" customHeight="1">
      <c r="B46" s="106">
        <v>3</v>
      </c>
      <c r="C46" s="107" t="s">
        <v>145</v>
      </c>
      <c r="D46" s="108">
        <f>D26</f>
        <v>109058000</v>
      </c>
      <c r="E46" s="293"/>
      <c r="F46" s="293"/>
      <c r="G46" s="293"/>
      <c r="H46" s="293"/>
      <c r="I46" s="293"/>
      <c r="J46" s="296"/>
    </row>
    <row r="47" spans="2:14" ht="17.649999999999999">
      <c r="B47" s="289" t="s">
        <v>146</v>
      </c>
      <c r="C47" s="289"/>
      <c r="D47" s="110" t="e">
        <f>SUM(D44:D46)</f>
        <v>#REF!</v>
      </c>
      <c r="E47" s="111" t="s">
        <v>147</v>
      </c>
      <c r="F47" s="106"/>
      <c r="G47" s="106"/>
      <c r="H47" s="106"/>
      <c r="I47" s="106"/>
      <c r="J47" s="107"/>
    </row>
    <row r="48" spans="2:14" ht="17.649999999999999">
      <c r="B48" s="112"/>
      <c r="C48" s="112"/>
      <c r="D48" s="112"/>
      <c r="E48" s="112"/>
      <c r="F48" s="112"/>
      <c r="G48" s="112"/>
      <c r="H48" s="112"/>
      <c r="I48" s="112"/>
      <c r="J48" s="112"/>
    </row>
    <row r="49" spans="2:10" ht="17.649999999999999">
      <c r="B49" s="112"/>
      <c r="C49" s="112"/>
      <c r="D49" s="112"/>
      <c r="E49" s="112"/>
      <c r="F49" s="112"/>
      <c r="G49" s="112"/>
      <c r="H49" s="112"/>
      <c r="I49" s="112"/>
      <c r="J49" s="112"/>
    </row>
    <row r="50" spans="2:10" ht="17.649999999999999">
      <c r="B50" s="112"/>
      <c r="C50" s="112"/>
      <c r="D50" s="112"/>
      <c r="E50" s="112"/>
      <c r="F50" s="112"/>
      <c r="G50" s="112"/>
      <c r="H50" s="112"/>
      <c r="I50" s="112"/>
      <c r="J50" s="112"/>
    </row>
    <row r="51" spans="2:10" ht="17.649999999999999">
      <c r="B51" s="102"/>
      <c r="C51" s="102"/>
      <c r="D51" s="102"/>
      <c r="E51" s="102"/>
      <c r="F51" s="102"/>
      <c r="G51" s="102"/>
      <c r="H51" s="102"/>
      <c r="I51" s="102"/>
      <c r="J51" s="102"/>
    </row>
  </sheetData>
  <mergeCells count="21">
    <mergeCell ref="H8:H9"/>
    <mergeCell ref="B10:D10"/>
    <mergeCell ref="D14:D15"/>
    <mergeCell ref="B19:C19"/>
    <mergeCell ref="E24:E26"/>
    <mergeCell ref="H24:H26"/>
    <mergeCell ref="I25:I26"/>
    <mergeCell ref="F24:F26"/>
    <mergeCell ref="J24:J26"/>
    <mergeCell ref="J45:J46"/>
    <mergeCell ref="B41:J41"/>
    <mergeCell ref="G24:G26"/>
    <mergeCell ref="B47:C47"/>
    <mergeCell ref="B27:C27"/>
    <mergeCell ref="B37:C37"/>
    <mergeCell ref="B40:J40"/>
    <mergeCell ref="G44:G46"/>
    <mergeCell ref="F44:F46"/>
    <mergeCell ref="I44:I46"/>
    <mergeCell ref="H44:H46"/>
    <mergeCell ref="E44:E46"/>
  </mergeCells>
  <pageMargins left="0.7" right="0.7" top="0.75" bottom="0.75" header="0.3" footer="0.3"/>
  <pageSetup paperSize="9" scale="99" orientation="landscape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7045F-1561-4F6C-8572-91F6ED824BCC}">
  <dimension ref="J9:J15"/>
  <sheetViews>
    <sheetView workbookViewId="0">
      <selection activeCell="J16" sqref="J16"/>
    </sheetView>
  </sheetViews>
  <sheetFormatPr defaultRowHeight="14.25"/>
  <cols>
    <col min="10" max="10" width="15.33203125" bestFit="1" customWidth="1"/>
  </cols>
  <sheetData>
    <row r="9" spans="10:10" ht="17.649999999999999">
      <c r="J9" s="254">
        <v>2766584240</v>
      </c>
    </row>
    <row r="10" spans="10:10" ht="17.649999999999999">
      <c r="J10" s="254">
        <v>119170616</v>
      </c>
    </row>
    <row r="11" spans="10:10" ht="17.649999999999999">
      <c r="J11" s="254">
        <v>276008641</v>
      </c>
    </row>
    <row r="12" spans="10:10" ht="17.649999999999999">
      <c r="J12" s="254">
        <v>30116380</v>
      </c>
    </row>
    <row r="13" spans="10:10" ht="17.649999999999999">
      <c r="J13" s="254">
        <v>108120123</v>
      </c>
    </row>
    <row r="15" spans="10:10">
      <c r="J15" s="253">
        <f>SUM(J9:J14)</f>
        <v>3300000000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foxz</vt:lpstr>
      <vt:lpstr>THKP</vt:lpstr>
      <vt:lpstr>HMC</vt:lpstr>
      <vt:lpstr>CBDT</vt:lpstr>
      <vt:lpstr>Tham tra</vt:lpstr>
      <vt:lpstr>Sheet2</vt:lpstr>
      <vt:lpstr>Sheet1</vt:lpstr>
      <vt:lpstr>CBDT!Print_Area</vt:lpstr>
      <vt:lpstr>THKP!Print_Area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HOME</cp:lastModifiedBy>
  <cp:lastPrinted>2025-04-11T11:18:24Z</cp:lastPrinted>
  <dcterms:created xsi:type="dcterms:W3CDTF">2017-07-09T00:38:45Z</dcterms:created>
  <dcterms:modified xsi:type="dcterms:W3CDTF">2025-04-11T12:11:57Z</dcterms:modified>
</cp:coreProperties>
</file>