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40" windowWidth="15140" windowHeight="9290" activeTab="0"/>
  </bookViews>
  <sheets>
    <sheet name="ĐT (chi tiết)" sheetId="1" r:id="rId1"/>
  </sheets>
  <definedNames/>
  <calcPr fullCalcOnLoad="1"/>
</workbook>
</file>

<file path=xl/sharedStrings.xml><?xml version="1.0" encoding="utf-8"?>
<sst xmlns="http://schemas.openxmlformats.org/spreadsheetml/2006/main" count="500" uniqueCount="316">
  <si>
    <t>Nội dung</t>
  </si>
  <si>
    <t>STT</t>
  </si>
  <si>
    <t>TỔNG SỐ</t>
  </si>
  <si>
    <t>I</t>
  </si>
  <si>
    <t>-</t>
  </si>
  <si>
    <t>II</t>
  </si>
  <si>
    <t>UBND HUYỆN TU MƠ RÔNG</t>
  </si>
  <si>
    <t>Mã số dự án</t>
  </si>
  <si>
    <t>*</t>
  </si>
  <si>
    <t>8046383</t>
  </si>
  <si>
    <t>8048129</t>
  </si>
  <si>
    <t>8047554</t>
  </si>
  <si>
    <t>8046770</t>
  </si>
  <si>
    <t>8050040</t>
  </si>
  <si>
    <t>Dự án dùng chung cho các dự án từ nguồn vốn đầu tư công CTMTQG không theo hình thức dự án đầu tư tại xã Đăk Rơ Ông</t>
  </si>
  <si>
    <t>Dự án dùng chung cho các dự án từ nguồn vốn đầu tư công CTMTQG không theo hình thức dự án đầu tư tại xã Đắk Hà</t>
  </si>
  <si>
    <t>Dự án dùng chung cho các dự án từ nguồn vốn đầu tư công CTMTQG không theo hình thức dự án đầu tư tại xã Tê Xăng</t>
  </si>
  <si>
    <t>8047557</t>
  </si>
  <si>
    <t>Dự án dùng chung cho các dự án từ nguồn vốn đầu tư công CTMTQG không theo hình thức dự án đầu tư tại xã Văn Xuôi</t>
  </si>
  <si>
    <t>8053660</t>
  </si>
  <si>
    <t>8047553</t>
  </si>
  <si>
    <t>Dự án dùng chung cho các dự án từ nguồn vốn đầu tư công CTMTQG không theo hình thức dự án đầu tư tại xã Đăk Sao</t>
  </si>
  <si>
    <t>8048922</t>
  </si>
  <si>
    <t>Dự án dùng chung cho các dự án từ nguồn vốn đầu tư công CTMTQG không theo hình thức dự án đầu tư tại xã Tu Mơ Rông</t>
  </si>
  <si>
    <t>Chương trình mục tiêu quốc gia giảm nghèo bền vững giai đoạn 2021-2025</t>
  </si>
  <si>
    <t>Trường mầm non xã Đăk Hà</t>
  </si>
  <si>
    <t>7929800</t>
  </si>
  <si>
    <t>Đường đi khu sản xuất, thác Siu Puông, xã Đăk Na</t>
  </si>
  <si>
    <t>7970452</t>
  </si>
  <si>
    <t>Đường thôn Ty Tu đi khu sản xuất tập trung xã Đăk Hà</t>
  </si>
  <si>
    <t>7972270</t>
  </si>
  <si>
    <t>Đường liên thôn từ thôn Tu Cấp vào thôn Đăk Ka - Văn Sang - Đăk Neang, xã Tu Mơ Rông</t>
  </si>
  <si>
    <t>7972271</t>
  </si>
  <si>
    <t>Đường đi khu sản xuất thôn Đăk Chum 2</t>
  </si>
  <si>
    <t>7972586</t>
  </si>
  <si>
    <t>Khu văn hoá thể thao xã Ngọk Lây; Hạng mục: Sân bóng đá (sân cỏ nhân tạo); Sân khấu ngoài trời; Sân, đường bê tông và các hạng mục phụ trợ</t>
  </si>
  <si>
    <t xml:space="preserve">7974804 </t>
  </si>
  <si>
    <t>Gia cố các hạng mục xung yếu trên tuyến đường vào và đường nội bộ khu tái định cư thôn Tu Thó, xã Tê Xăng</t>
  </si>
  <si>
    <t>7976656</t>
  </si>
  <si>
    <t>Đường đi khu sản xuất Đăk Chum 1, xã Tu Mơ Rông</t>
  </si>
  <si>
    <t>7983410</t>
  </si>
  <si>
    <t>Nước sinh hoạt thôn Ba Tu 3, xã Ngọk Yêu</t>
  </si>
  <si>
    <t>7985621</t>
  </si>
  <si>
    <t>Nâng cấp sửa chữa đường nội thôn Kon Hia 1, xã Đăk Rơ Ông</t>
  </si>
  <si>
    <t>7989022</t>
  </si>
  <si>
    <t>Giếng đào (NSH) thôn La Giông, xã Đăk Rơ Ông</t>
  </si>
  <si>
    <t>7989023</t>
  </si>
  <si>
    <t>Đường nội thôn Tu Thó</t>
  </si>
  <si>
    <t xml:space="preserve">7991695 </t>
  </si>
  <si>
    <t>Nước tự chảy phục vụ mô hình trồng dược liệu và các loại cây trồng ứng dụng công nghệ cao xã Đăk Na</t>
  </si>
  <si>
    <t>7991699</t>
  </si>
  <si>
    <t>Đường nội thôn Đăk Sông</t>
  </si>
  <si>
    <t>7991703</t>
  </si>
  <si>
    <t>Đường đi khu sản xuất thôn Đăk Kinh I</t>
  </si>
  <si>
    <t>7991709</t>
  </si>
  <si>
    <t>Đường đi khu sản xuất Măng Rương I, II ( đoạn nối tiếp)</t>
  </si>
  <si>
    <t>Kiên cố hóa kênh mương thủy lợi Gia Bao( đoạn cuối)</t>
  </si>
  <si>
    <t>Đường Đi khu sản xuất thôn Ngọc La ( Đoạn nối tiếp Ai Len )</t>
  </si>
  <si>
    <t>Thuỷ lợi xã Đăk Sao (Hạng mục: Thuỷ lợi Đăk Prí)</t>
  </si>
  <si>
    <t>Sửa chữa nâng cấp đường đi khu sản xuất thôn Mô Za ( Toàn tuyến 2km)</t>
  </si>
  <si>
    <t>Khu văn hóa thể thao xã Tê Xăng</t>
  </si>
  <si>
    <t>Khu văn hóa thể thao xã Đăk Tờ Kan</t>
  </si>
  <si>
    <t>Nâng cấp, sửa chữa nước sinh hoạt thôn Tam Rin</t>
  </si>
  <si>
    <t>Khu văn hóa thể thao xã Đăk Sao</t>
  </si>
  <si>
    <t>Khu văn hóa, kết hợp dụng cụ thể dục thể thao, xã Đăk Hà; Hạng mục: Chỉnh trang khuôn viên khu làm việc các phòng ban</t>
  </si>
  <si>
    <t>Đường đi khu sản xuất thôn Đăk Riếp 1, xã Đăk Na</t>
  </si>
  <si>
    <t>Thủy lợi Đăk Pui, xã Đăk Tờ Kan</t>
  </si>
  <si>
    <t>8002489</t>
  </si>
  <si>
    <t>8002499</t>
  </si>
  <si>
    <t>8002500</t>
  </si>
  <si>
    <t>8002502</t>
  </si>
  <si>
    <t>8002504</t>
  </si>
  <si>
    <t>8002505</t>
  </si>
  <si>
    <t>8002506</t>
  </si>
  <si>
    <t>8002518</t>
  </si>
  <si>
    <t>8002815</t>
  </si>
  <si>
    <t>8003893</t>
  </si>
  <si>
    <t>8003898</t>
  </si>
  <si>
    <t>8004633</t>
  </si>
  <si>
    <t>8006197</t>
  </si>
  <si>
    <t>8029576</t>
  </si>
  <si>
    <t>8037456</t>
  </si>
  <si>
    <t>8038188</t>
  </si>
  <si>
    <t>8044081</t>
  </si>
  <si>
    <t>8046376</t>
  </si>
  <si>
    <t>8041654</t>
  </si>
  <si>
    <t>Quảng trường kết hợp Khu thể thao xã Đăk Hà</t>
  </si>
  <si>
    <t>Cấp nước sinh hoạt các thôn xã Đăk Hà</t>
  </si>
  <si>
    <t>Nâng cấp, sữa chữa đoạn đường từ UBND xã qua thôn Chung Tam đến thôn Pu Tá</t>
  </si>
  <si>
    <t>Cầu treo Đăk Tu thôn Kon Cung</t>
  </si>
  <si>
    <t>Nâng cấp, mở rộng tuyến đường từ thôn Pu Tá đi làng cũ</t>
  </si>
  <si>
    <t>Cầu tràn qua suối thôn Mô Za, xã Ngọk Lây phục vụ phát triển vùng dược liệu</t>
  </si>
  <si>
    <t>Cầu tràn Tu Long xã Văn Xuôi</t>
  </si>
  <si>
    <t>Trường mầm non xã Măng Ri</t>
  </si>
  <si>
    <t>Cầu tràn Đăk Riếp 1 đi khu du lịch thác Siu Puông</t>
  </si>
  <si>
    <t>Chỉnh trang đô thị khu trung tâm huyện</t>
  </si>
  <si>
    <t>Chương trình mục tiêu quốc gia xây dựng nông thôn mới giai đoạn 2021-2025</t>
  </si>
  <si>
    <t>Đường nội thôn Long Hy</t>
  </si>
  <si>
    <t>Đường đi khu sản xuất Đăk Trăng 2 (đoạn nối tiếp)</t>
  </si>
  <si>
    <t>Đường trục thôn Mô Bành 2 (Đoạn nối tiếp)</t>
  </si>
  <si>
    <t>Đường đi khu sản xuất thôn Tu Bung ( Đoạn nối đường bê tông đi khu sản xuất thôn Tu Bung)</t>
  </si>
  <si>
    <t>Đường trục chính nội đồng thôn Lộc Bông ( Đoạn nối tiếp đường bê tông nội thôn Lộc Bông)</t>
  </si>
  <si>
    <t>Đường đi khu sản xuất thôn Tân Ba</t>
  </si>
  <si>
    <t>Đường Đi khu sản xuất Long Hy ( Đoạn nối tiếp AiLen )</t>
  </si>
  <si>
    <t>Đường đi khu sản xuất Irit thôn Ngọc La (Đoạn 1)</t>
  </si>
  <si>
    <t>Giếng đào thôn Kạch Lớn 1 và Kạch Lớn 2</t>
  </si>
  <si>
    <t>Giếng đào ( 15 cái)</t>
  </si>
  <si>
    <t>Đường nội thôn Đăk Xia ( sửa chữa nâng cấp đường nội thôn đoạn nối QL40B đi làng Kô Xia I cũ)</t>
  </si>
  <si>
    <t>Thủy Lợi Ti Neang thôn Pu Tá</t>
  </si>
  <si>
    <t>Thủy lợi Long Va, thôn Chung Tam</t>
  </si>
  <si>
    <t>Khu thể thao thôn Ngọc La</t>
  </si>
  <si>
    <t>7979391</t>
  </si>
  <si>
    <t>7981473</t>
  </si>
  <si>
    <t>7991710</t>
  </si>
  <si>
    <t>7991712</t>
  </si>
  <si>
    <t>7992666</t>
  </si>
  <si>
    <t>7992670</t>
  </si>
  <si>
    <t>7992680</t>
  </si>
  <si>
    <t>7992770</t>
  </si>
  <si>
    <t>8006211</t>
  </si>
  <si>
    <t>8007117</t>
  </si>
  <si>
    <t>8027165</t>
  </si>
  <si>
    <t>8035645</t>
  </si>
  <si>
    <t>Hỗ trợ đầu tư phát triển hạ tầng kinh tế - xã hội các huyện nghèo, các xã đặc biệt khó khăn vùng bãi ngang, ven biển và hải đảo</t>
  </si>
  <si>
    <t>7829578</t>
  </si>
  <si>
    <t>Chương trình mục tiêu quốc gia phát triển kinh tế - xã hội vùng đồng bào dân tộc thiểu số và miền núi giai đoạn 2021-2030, giai đoạn I: từ năm 2021 đến năm 2025</t>
  </si>
  <si>
    <t>Phát triển hạ tầng kinh tế - xã hội, cơ bản đồng bộ, hiện đại, đảm bảo kết nối nông thôn - đô thị và kết nối các vùng miền</t>
  </si>
  <si>
    <t>Bảo tồn giá trị văn hóa vật thể, phi vật thể và hỗ trợ phát triển du lịch làng Pu Tá, xã Măng Ri</t>
  </si>
  <si>
    <t>Nước sinh hoạt tập trung khu tái định cư Ba Khen - Long Tro xã Văn Xuôi</t>
  </si>
  <si>
    <t>Nước sinh hoạt tập trung thôn Long Hy 2 - xã Măng Ri</t>
  </si>
  <si>
    <t>Nước sinh hoạt tập trung thôn Ngọc Đo - Long Láy 1 - Ba Tu 1</t>
  </si>
  <si>
    <t>Nâng cấp, sửa chữa nước sinh hoạt trung tâm xã Ngọc Yêu</t>
  </si>
  <si>
    <t>Dự án sắp xếp, bố trí, ổn định dân cư tại chỗ xã Đăk Rơ Ông và Đăk Tờ Kan huyện Tu Mơ Rông</t>
  </si>
  <si>
    <t>Sắp xếp, bố trí, ổn định dân cư tập trung và tại chỗ xã Đăk Hà huyện Tu Mơ Rông</t>
  </si>
  <si>
    <t>Sắp xếp, bố trí, ổn định dân cư tại chỗ xã Đăk Sao, huyện Tu Mơ Rông</t>
  </si>
  <si>
    <t>Hệ thống điện chiếu sáng nông thôn tại các thôn trên địa bàn xã Ngọk Lây</t>
  </si>
  <si>
    <t>Hệ thống điện chiếu sáng nông thôn tại các thôn tại các thôn trên địa bàn xã Măng Ri</t>
  </si>
  <si>
    <t>Hệ thống điện chiếu sáng nông thôn tại các thôn tại các thôn trên địa bàn xã Tê Xăng</t>
  </si>
  <si>
    <t>Hệ thống điện chiếu sáng nông thôn tại các thôn trên địa bàn xã Đắk Sao</t>
  </si>
  <si>
    <t>Hệ thống điện chiếu sáng nông thôn tại các thôn trên địa bàn xã Văn Xuôi</t>
  </si>
  <si>
    <t>Hệ thống điện chiếu sáng nông thôn tại các thôn trên địa bàn xã Đăk Rơ Ông</t>
  </si>
  <si>
    <t>Hệ thống điện chiếu sáng nông thôn tại các thôn trên địa bàn xã Tu Mơ Rông</t>
  </si>
  <si>
    <t>Hệ thống điện chiếu sáng nông thôn tại các thôn trên địa bàn xã Đăk Tờ Kan</t>
  </si>
  <si>
    <t>Hệ thống điện chiếu sáng nông thôn tại các thôn trên địa bàn xã Đăk Hà</t>
  </si>
  <si>
    <t>Hệ thống điện chiếu sáng nông thôn tại các thôn trên địa bàn xã Đăk Na</t>
  </si>
  <si>
    <t>Nâng cấp, sửa chữa đường liên xã Đăk Hà qua xã Đăk Rơ Ông</t>
  </si>
  <si>
    <t>Đường đi khu sản xuất Mooi thôn Long Tro</t>
  </si>
  <si>
    <t>Đường đi khu sản xuất Đăk Hnăng 2</t>
  </si>
  <si>
    <t>Phát triển giáo dục đào tạo nâng cao chất lượng nguồn nhân lực</t>
  </si>
  <si>
    <t>Đầu tư cơ sở hạ tầng thiết yếu, phục vụ sản xuất, đời sống trong vùng đồng bào dân tộc thiểu số và miền núi và các đơn vị sự nghiệp công lập của lĩnh vực dân tộc</t>
  </si>
  <si>
    <t>Quy hoạch, sắp xếp, bố trí, ổn định dân cư ở những nơi cần thiết</t>
  </si>
  <si>
    <t>Giải quyết tình trạng thiếu đất ở, nhà ở, đất sản xuất, nước sinh hoạt</t>
  </si>
  <si>
    <t>Trường phổ thông dân tộc bán trú tiểu học - TH cơ sở Đăk Sao</t>
  </si>
  <si>
    <t>Trường PTDTBT THCS xã Đăk Na; Hạng mục: Xây dựng mới 01 phòng ở học sinh</t>
  </si>
  <si>
    <t>Trường Trung học cơ sở Bán trú dân tộc thiểu số Tu Mơ Rông</t>
  </si>
  <si>
    <t>Trường Phổ thông dân tộc bán trú tiểu học - Trung học cơ sở xã Ngọk Lây</t>
  </si>
  <si>
    <t>Trường Phổ thông dân tộc bán trú tiểu học- Trung học cơ sở xã Măng Ry</t>
  </si>
  <si>
    <t>Trường PTDTBT TH-THCS xã Ngọk Yêu; Hạng mục: Công trình vệ sinh, nước sạch</t>
  </si>
  <si>
    <t>Trường TH xã Đăk Hà; Hạng mục: Phòng học bộ môn</t>
  </si>
  <si>
    <t>Bảo tồn, phát huy giá trị văn hóa truyền thống tốt đẹp của các dân tộc thiểu số gắn với phát triển du lịch</t>
  </si>
  <si>
    <t>Đầu tư xây dựng thiết chế văn hóa, thể thao thôn Đăk Kinh 1, xã Ngọk Lây</t>
  </si>
  <si>
    <t>Đầu tư xây dựng thiết chế văn hóa, thể thao thôn Tê Xô Trong, xã Đăk Tờ Kan</t>
  </si>
  <si>
    <t>Đầu tư xây dựng thiết chế văn hóa, thể thao thôn Lộc Bông, xã Ngọk Lây</t>
  </si>
  <si>
    <t>Đầu tư xây dựng thiết chế văn hóa, thể thao thôn Tu Mơ Rông, xã Tu Mơ Rông</t>
  </si>
  <si>
    <t>Đầu tư xây dựng thiết chế văn hóa, thể thao thôn Kạch Nhỏ, xã Đăk Sao</t>
  </si>
  <si>
    <t>Đầu tư xây dựng thiết chế văn hóa, thể thao thôn Đăk Viên, xã Tê Xăng</t>
  </si>
  <si>
    <t>Đầu tư xây dựng thiết chế văn hóa, thể thao thôn Long Láy, xã Măng Ri</t>
  </si>
  <si>
    <t>Đầu tư xây dựng thiết chế văn hóa, thể thao thôn Mô Pả, xã Đăk Hà</t>
  </si>
  <si>
    <t>Đầu tư xây dựng thiết chế văn hóa, thể thao thôn Tu Mơ Rông, xã Đăk Hà</t>
  </si>
  <si>
    <t>Đầu tư xây dựng thiết chế văn hóa, thể thao thôn Mô Bành, xã Đăk Rơ Ông</t>
  </si>
  <si>
    <t>Đầu tư xây dựng thiết chế văn hóa, thể thao thôn Pu Tá, xã Măng Ri</t>
  </si>
  <si>
    <t>Đầu tư xây dựng thiết chế văn hóa, thể thao thôn Đăk Riếp 2, xã Đăk Na</t>
  </si>
  <si>
    <t>Đầu tư xây dựng thiết chế văn hóa, thể thao thôn Long Láy 1, xã Ngọk Yêu</t>
  </si>
  <si>
    <t>Đầu tư xây dựng thiết chế văn hóa, thể thao thôn Ba Khen, xã Văn Xuôi</t>
  </si>
  <si>
    <t>Đầu tư xây dựng thiết chế văn hóa, thể thao thôn Măng Lỡ, xã Đăk Rơ Ông</t>
  </si>
  <si>
    <t>Truyền thông, tuyên truyền, vận động trong vùng đồng bào dân tộc thiểu số và miền núi. Kiểm tra, giám sát đánh giá việc tổ chức thực hiện chương trình</t>
  </si>
  <si>
    <t>Ứng dụng công nghệ thông tin hỗ trợ phát  triển kinh tế - xã hội và đảm bảo an ninh trật tự</t>
  </si>
  <si>
    <t>7985610</t>
  </si>
  <si>
    <t>7987877</t>
  </si>
  <si>
    <t>8006208</t>
  </si>
  <si>
    <t>8006209</t>
  </si>
  <si>
    <t/>
  </si>
  <si>
    <t>7989024</t>
  </si>
  <si>
    <t>7998160</t>
  </si>
  <si>
    <t>8060420</t>
  </si>
  <si>
    <t>7983751</t>
  </si>
  <si>
    <t>7983752</t>
  </si>
  <si>
    <t>7983753</t>
  </si>
  <si>
    <t>7985605</t>
  </si>
  <si>
    <t>7985612</t>
  </si>
  <si>
    <t>7985613</t>
  </si>
  <si>
    <t>7986338</t>
  </si>
  <si>
    <t>7986339</t>
  </si>
  <si>
    <t>7986345</t>
  </si>
  <si>
    <t>7986347</t>
  </si>
  <si>
    <t>7994274</t>
  </si>
  <si>
    <t>8064871</t>
  </si>
  <si>
    <t>8066804</t>
  </si>
  <si>
    <t>7970456</t>
  </si>
  <si>
    <t>7970457</t>
  </si>
  <si>
    <t>7971598</t>
  </si>
  <si>
    <t>7974806</t>
  </si>
  <si>
    <t>7974807</t>
  </si>
  <si>
    <t>7974808</t>
  </si>
  <si>
    <t>7982837</t>
  </si>
  <si>
    <t>8006188</t>
  </si>
  <si>
    <t>8006189</t>
  </si>
  <si>
    <t>8006190</t>
  </si>
  <si>
    <t>8006192</t>
  </si>
  <si>
    <t>8006193</t>
  </si>
  <si>
    <t>8006194</t>
  </si>
  <si>
    <t>8006195</t>
  </si>
  <si>
    <t>8006198</t>
  </si>
  <si>
    <t>8006199</t>
  </si>
  <si>
    <t>8006200</t>
  </si>
  <si>
    <t>8006201</t>
  </si>
  <si>
    <t>8006202</t>
  </si>
  <si>
    <t>8006203</t>
  </si>
  <si>
    <t>8006204</t>
  </si>
  <si>
    <t>8006205</t>
  </si>
  <si>
    <t>7993434</t>
  </si>
  <si>
    <t>Dự án dùng chung cho các dự án từ nguồn vốn đầu tư công CTMTQG không theo hình thức dự án đầu tư tại xã Đắk Na</t>
  </si>
  <si>
    <t>Dự án dùng chung cho các dự án từ nguồn vốn đầu tư công CTMTQG không theo hình thức dự án đầu tư tại xã Đăk Tờ Kan</t>
  </si>
  <si>
    <t>Dự án dùng chung cho các dự án từ nguồn vốn đầu tư công CTMTQG không theo hình thức dự án đầu tư tại xã Ngọk Lây</t>
  </si>
  <si>
    <t>Kế hoạch vốn năm 2023 chuyển sang năm 2024 tiếp tục thực hiện</t>
  </si>
  <si>
    <t>k</t>
  </si>
  <si>
    <t>Nâng cấp, sửa chữa Thủy lợi Đăk Plò, xã Đăk Rơ Ông (đập đầu mối và hệ thống kênh)</t>
  </si>
  <si>
    <t>UBND xã Đăk Rơ Ông</t>
  </si>
  <si>
    <t>Nâng cấp, sửa chữa Thủy lợi Ting 3, xã Đăk Rơ Ông (đập đầu mối và hệ thống kênh)</t>
  </si>
  <si>
    <t>Chủ đầu tư</t>
  </si>
  <si>
    <t>Nâng cấp, sửa chữa đường từ thôn Đăk Dơn đi thôn Pu Tá (Đoạn nối tiếp)</t>
  </si>
  <si>
    <t>Nâng cấp, sửa chữa đường thôn Đăk Dơn đi UBND xã (Đoạn nối tiếp)</t>
  </si>
  <si>
    <t>Hệ thống nước tưới vườn dược liệu Thôn Pu Tá xã Măng Ri</t>
  </si>
  <si>
    <t>Hệ thống nước tưới vườn dược liệu Thôn Long Hy xã Măng Ri</t>
  </si>
  <si>
    <t>Sửa chữa, nâng cấp đường liên thôn Mô Za - Lộc Bông (đoạn nối tiếp)</t>
  </si>
  <si>
    <t>UBND xã Ngọk Lây</t>
  </si>
  <si>
    <t>Hệ thống nước tưới vườn dược liệu xã Ngọc Lây</t>
  </si>
  <si>
    <t>Nước tự chảy phục vụ mô hình trồng dược liệu và các loại cây trồng khác xã Đăk Hà (điểm số 1)</t>
  </si>
  <si>
    <t>UBND xã Đăk Hà</t>
  </si>
  <si>
    <t>Nước tự chảy phục vụ mô hình trồng dược liệu và các loại cây trồng khác xã Đăk Hà (điểm số 2)</t>
  </si>
  <si>
    <t>Khu văn hóa thể thao xã Măng Ri</t>
  </si>
  <si>
    <t>Ban quản lý dự án đầu tư xây dựng huyện</t>
  </si>
  <si>
    <t>Cầu qua suối Đăk Ter</t>
  </si>
  <si>
    <t>Trường THCS xã Đăk Tờ Kan</t>
  </si>
  <si>
    <t>UBND xã Đăk Na</t>
  </si>
  <si>
    <t>UBND xã Đăk Sao</t>
  </si>
  <si>
    <t>Ghi chú</t>
  </si>
  <si>
    <t>Hỗ trợ làm nhà dự án định canh, định cư tập trung thôn Đăk Kinh 1 xã Ngok Lây, huyện Tu Mơ Rông</t>
  </si>
  <si>
    <t>UBND xã Ngok Lây</t>
  </si>
  <si>
    <t>Ngân sách xã</t>
  </si>
  <si>
    <t>Trung tâm giống dược liệu quý (Dự án 3)</t>
  </si>
  <si>
    <t>Chợ trung tâm xã Ngok Lây</t>
  </si>
  <si>
    <t>Đường đi khu sản xuất Long Rô</t>
  </si>
  <si>
    <t>Đường đi khu sản xuất tập trung 03 thôn: Đăk Neang, Tu Cấp, Đăk Ka (đoạn nối tiếp giai đoạn 2)</t>
  </si>
  <si>
    <t>Đường đi khu sản xuất Đăk Ter thôn Kon Pia</t>
  </si>
  <si>
    <t>Cầu treo đi khu sản xuất Đăk Ter thôn Kon Pia</t>
  </si>
  <si>
    <t>Kiên cố hóa kênh mương thủy lợi Ngô Mông thôn Ty Tu</t>
  </si>
  <si>
    <t>Đường đi khu sản xuất Tê Tri thôn Ngọc Leang</t>
  </si>
  <si>
    <t>Cầu tràn thôn Đăk Văn Linh</t>
  </si>
  <si>
    <t>Cầu treo Đăk Blây</t>
  </si>
  <si>
    <t>Cầu treo đi khu sản xuất Ngọc Đo</t>
  </si>
  <si>
    <t>Đường trục chính nội đồng thôn Đăk Xia (nhành 1 nối đường bê tông đi khu sản xuất)</t>
  </si>
  <si>
    <t>Sửa chữa Đập thủy lợi Chu Chi</t>
  </si>
  <si>
    <t>Sửa chữa Đập thủy lợi Lộc Bông</t>
  </si>
  <si>
    <t>Đường từ cầu Đăk Sông đi Tu Thó</t>
  </si>
  <si>
    <t>Đường từ Tu Thó đi khu sản xuất Tân Ba</t>
  </si>
  <si>
    <t>Đường từ Đăk Viên đi Tu Thó</t>
  </si>
  <si>
    <t>Kiên cố hóa kênh mương  nội đồng thủy lợi Tê Vông thôn Đăk Viên</t>
  </si>
  <si>
    <t>Đường từ thôn Đắk Dơn lên UBND xã</t>
  </si>
  <si>
    <t>Đường từ thôn Đắk Dơn sang thôn Chung Tam</t>
  </si>
  <si>
    <t>Đường đi khu sản xuất Đăk Hnăng 1</t>
  </si>
  <si>
    <t>Đường đi khu sản xuất Kon HNông 2</t>
  </si>
  <si>
    <t>KCH kênh mương Thủy lợi Đăk Ting 1 (sau UBND xã)</t>
  </si>
  <si>
    <t>KCH kênh mương Thủy lợi Ma Rông 2</t>
  </si>
  <si>
    <t>Đường đi KSX thôn Kon Hia 2 (đoạn nhà ông A Phiên)</t>
  </si>
  <si>
    <t>Đường đi KSX thôn Kon Hia 1 (đoạn khu di dời)</t>
  </si>
  <si>
    <t>Đường đi KSX Kung Tu thôn Kạch nhỏ</t>
  </si>
  <si>
    <t>Đường đi KSX thôn Kạch lớn 1( Nối tiếp GTNT)</t>
  </si>
  <si>
    <t>Nâng cấp sửa chữa đường liên thôn năng nhỏ 1 - năng nhỏ 2</t>
  </si>
  <si>
    <t>Đường đi KSX Ta Dao thôn Kạch lớn 2</t>
  </si>
  <si>
    <t>Cầu treo Đăk Na đi KSX thôn Đăk Rê 1-Kon Sang</t>
  </si>
  <si>
    <t>Nâng cấp, sửa chữa nền mặt đường, hệ thống thoát nước đường nội thôn Mô Bành 1 (từ TL 678 vào thôn Mô Bành 1)</t>
  </si>
  <si>
    <t>Cầu tràn Đăk Chi</t>
  </si>
  <si>
    <t>UBND Xã Ngọk Lây</t>
  </si>
  <si>
    <t>UBND Xã Măng Ri</t>
  </si>
  <si>
    <t>UBND Xã Tê Xăng</t>
  </si>
  <si>
    <t>UBND Xã Đăk Sao</t>
  </si>
  <si>
    <t>UBND Xã Văn Xuôi</t>
  </si>
  <si>
    <t>UBND Xã Đăk Rơ Ông</t>
  </si>
  <si>
    <t>UBND Xã Đăk Tờ Kan</t>
  </si>
  <si>
    <t>UBND Xã Đăk Hà</t>
  </si>
  <si>
    <t>UBND Xã Đăk Na</t>
  </si>
  <si>
    <t>Trung tâm Văn hóa - Thể thao - Du lịch và Truyền thông</t>
  </si>
  <si>
    <t>UBND xã Tê Xăng</t>
  </si>
  <si>
    <t>UBND xã Đăk Tờ Kan</t>
  </si>
  <si>
    <t>UBND xã Văn Xuôi</t>
  </si>
  <si>
    <t>UBND xã Tu Mơ Rông</t>
  </si>
  <si>
    <t>Trong đó:</t>
  </si>
  <si>
    <t>Tổng kế hoạch vốn năm 2024</t>
  </si>
  <si>
    <t>Kinh phí tạm ứng theo chế độ chưa thu hồi</t>
  </si>
  <si>
    <t>Kế hoạch vốn năm 2024 (phân bổ đầu năm)</t>
  </si>
  <si>
    <t>Bao gồm:</t>
  </si>
  <si>
    <t>Giải ngân kế hoạch vốn năm 2024</t>
  </si>
  <si>
    <t>Giải ngân Kế hoạch vốn năm 2023 chuyển sang năm 2024 tiếp tục thực hiện</t>
  </si>
  <si>
    <t>Thu hồi kinh phí tạm ứng năm trước</t>
  </si>
  <si>
    <t>Giải ngân Kế hoạch vốn năm 2024 (phân bổ đầu năm)</t>
  </si>
  <si>
    <t>Tỷ lệ giải ngân</t>
  </si>
  <si>
    <t>Phòng Nông nghiệp và Phát triển nông thôn</t>
  </si>
  <si>
    <t>Kế hoạch vốn được kéo dài</t>
  </si>
  <si>
    <t>UBND Xã Tu Mơ Rông</t>
  </si>
  <si>
    <t>UBND Xã Ngọk Yêu</t>
  </si>
  <si>
    <t>Đvt: triệu đồng</t>
  </si>
  <si>
    <t>TỈNH HÌNH GIẢI NGÂN NGUỒN NGÂN SÁCH TRUNG ƯƠNG NĂM 2024 THỰC HIỆN CHƯƠNG TRÌNH MỤC TIÊU QUỐC GIA TRÊN ĐỊA BÀN HUYỆN TU MƠ RÔNG (VỐN ĐẦU TƯ)</t>
  </si>
  <si>
    <t>Nâng cấp, sửa chữa công trình thoát nước, vỉa hè các tuyến đường khu trung tâm huyện</t>
  </si>
  <si>
    <t>Thực hiện giải ngân đến ngày 20/05/2024</t>
  </si>
  <si>
    <t>Nộp trả NS huyện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</si>
</sst>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 #,##0.0_);_(* \(#,##0.0\);_(* &quot;-&quot;??_);_(@_)"/>
    <numFmt numFmtId="175" formatCode="_(* #,##0_);_(* \(#,##0\);_(* &quot;-&quot;??_);_(@_)"/>
    <numFmt numFmtId="176" formatCode="&quot;Yes&quot;;&quot;Yes&quot;;&quot;No&quot;"/>
    <numFmt numFmtId="177" formatCode="&quot;True&quot;;&quot;True&quot;;&quot;False&quot;"/>
    <numFmt numFmtId="178" formatCode="&quot;On&quot;;&quot;On&quot;;&quot;Off&quot;"/>
    <numFmt numFmtId="179" formatCode="[$€-2]\ #,##0.00_);[Red]\([$€-2]\ #,##0.00\)"/>
    <numFmt numFmtId="180" formatCode="&quot;Có&quot;;&quot;Có&quot;;&quot;Không&quot;"/>
    <numFmt numFmtId="181" formatCode="&quot;Đúng&quot;;&quot;Đúng&quot;;&quot;Sai&quot;"/>
    <numFmt numFmtId="182" formatCode="&quot;Bật&quot;;&quot;Bật&quot;;&quot;Tắt&quot;"/>
    <numFmt numFmtId="183" formatCode="0,\”\k\”"/>
    <numFmt numFmtId="184" formatCode="_(* #,##0.000_);_(* \(#,##0.000\);_(* &quot;-&quot;??_);_(@_)"/>
  </numFmts>
  <fonts count="53">
    <font>
      <sz val="10"/>
      <name val="Arial"/>
      <family val="0"/>
    </font>
    <font>
      <sz val="10"/>
      <name val="Times New Roman"/>
      <family val="1"/>
    </font>
    <font>
      <b/>
      <sz val="10"/>
      <name val="Times New Roman"/>
      <family val="1"/>
    </font>
    <font>
      <i/>
      <sz val="10"/>
      <name val="Times New Roman"/>
      <family val="1"/>
    </font>
    <font>
      <sz val="11"/>
      <color indexed="8"/>
      <name val="Calibri"/>
      <family val="2"/>
    </font>
    <font>
      <sz val="14"/>
      <name val=".VnTime"/>
      <family val="2"/>
    </font>
    <font>
      <sz val="8"/>
      <name val="Arial"/>
      <family val="2"/>
    </font>
    <font>
      <b/>
      <sz val="12"/>
      <name val="Times New Roman"/>
      <family val="1"/>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u val="single"/>
      <sz val="10"/>
      <color indexed="20"/>
      <name val="Arial"/>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2"/>
      <color indexed="62"/>
      <name val="Calibri"/>
      <family val="2"/>
    </font>
    <font>
      <sz val="12"/>
      <color indexed="52"/>
      <name val="Calibri"/>
      <family val="2"/>
    </font>
    <font>
      <sz val="12"/>
      <color indexed="60"/>
      <name val="Calibri"/>
      <family val="2"/>
    </font>
    <font>
      <sz val="10"/>
      <color indexed="8"/>
      <name val="Arial Narrow"/>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0"/>
      <color indexed="10"/>
      <name val="Times New Roman"/>
      <family val="1"/>
    </font>
    <font>
      <sz val="10"/>
      <color indexed="8"/>
      <name val="Times New Roman"/>
      <family val="1"/>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sz val="11"/>
      <color theme="1"/>
      <name val="Calibri"/>
      <family val="2"/>
    </font>
    <font>
      <sz val="10"/>
      <color theme="1"/>
      <name val="Arial Narrow"/>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0"/>
      <color rgb="FFFF0000"/>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0" fillId="0" borderId="0">
      <alignment/>
      <protection/>
    </xf>
    <xf numFmtId="0" fontId="32" fillId="26" borderId="0" applyNumberFormat="0" applyBorder="0" applyAlignment="0" applyProtection="0"/>
    <xf numFmtId="0" fontId="33" fillId="27"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28" borderId="2"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5" fillId="0" borderId="0">
      <alignment/>
      <protection/>
    </xf>
    <xf numFmtId="0" fontId="45" fillId="0" borderId="0">
      <alignment/>
      <protection/>
    </xf>
    <xf numFmtId="0" fontId="46" fillId="0" borderId="0">
      <alignment/>
      <protection/>
    </xf>
    <xf numFmtId="0" fontId="0" fillId="0" borderId="0">
      <alignment/>
      <protection/>
    </xf>
    <xf numFmtId="0" fontId="46" fillId="0" borderId="0">
      <alignment/>
      <protection/>
    </xf>
    <xf numFmtId="0" fontId="4"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9">
    <xf numFmtId="0" fontId="0" fillId="0" borderId="0" xfId="0" applyAlignment="1">
      <alignment/>
    </xf>
    <xf numFmtId="0" fontId="1" fillId="0" borderId="0" xfId="0" applyFont="1" applyAlignment="1">
      <alignment/>
    </xf>
    <xf numFmtId="0" fontId="2" fillId="0" borderId="0" xfId="0" applyFont="1" applyAlignment="1">
      <alignment/>
    </xf>
    <xf numFmtId="0" fontId="1" fillId="33" borderId="10" xfId="62" applyFont="1" applyFill="1" applyBorder="1" applyAlignment="1" quotePrefix="1">
      <alignment horizontal="center" vertical="center"/>
      <protection/>
    </xf>
    <xf numFmtId="0" fontId="1" fillId="0" borderId="0" xfId="0" applyFont="1" applyAlignment="1">
      <alignment horizontal="center"/>
    </xf>
    <xf numFmtId="3" fontId="2" fillId="33" borderId="10" xfId="67" applyNumberFormat="1" applyFont="1" applyFill="1" applyBorder="1" applyAlignment="1" quotePrefix="1">
      <alignment horizontal="center" vertical="center" wrapText="1"/>
      <protection/>
    </xf>
    <xf numFmtId="3" fontId="2" fillId="33" borderId="10" xfId="67" applyNumberFormat="1" applyFont="1" applyFill="1" applyBorder="1" applyAlignment="1">
      <alignment horizontal="center" vertical="center" wrapText="1"/>
      <protection/>
    </xf>
    <xf numFmtId="3" fontId="1" fillId="33" borderId="10" xfId="67" applyNumberFormat="1" applyFont="1" applyFill="1" applyBorder="1" applyAlignment="1" quotePrefix="1">
      <alignment horizontal="center" vertical="center" wrapText="1"/>
      <protection/>
    </xf>
    <xf numFmtId="3" fontId="1" fillId="33" borderId="10" xfId="67" applyNumberFormat="1" applyFont="1" applyFill="1" applyBorder="1" applyAlignment="1" quotePrefix="1">
      <alignment horizontal="left" vertical="center" wrapText="1"/>
      <protection/>
    </xf>
    <xf numFmtId="3" fontId="1" fillId="33" borderId="10" xfId="67" applyNumberFormat="1" applyFont="1" applyFill="1" applyBorder="1" applyAlignment="1">
      <alignment horizontal="center" vertical="center" wrapText="1"/>
      <protection/>
    </xf>
    <xf numFmtId="3" fontId="2" fillId="33" borderId="10" xfId="67" applyNumberFormat="1" applyFont="1" applyFill="1" applyBorder="1" applyAlignment="1" quotePrefix="1">
      <alignment horizontal="left" vertical="center" wrapText="1"/>
      <protection/>
    </xf>
    <xf numFmtId="0" fontId="2" fillId="33" borderId="10" xfId="61" applyNumberFormat="1" applyFont="1" applyFill="1" applyBorder="1" applyAlignment="1" quotePrefix="1">
      <alignment horizontal="left" vertical="center" wrapText="1"/>
      <protection/>
    </xf>
    <xf numFmtId="49" fontId="1" fillId="33" borderId="10" xfId="44" applyNumberFormat="1" applyFont="1" applyFill="1" applyBorder="1" applyAlignment="1">
      <alignment horizontal="center" vertical="center"/>
    </xf>
    <xf numFmtId="175" fontId="2" fillId="0" borderId="10" xfId="42" applyNumberFormat="1" applyFont="1" applyBorder="1" applyAlignment="1">
      <alignment horizontal="center" vertical="center" wrapText="1"/>
    </xf>
    <xf numFmtId="175" fontId="1" fillId="0" borderId="10" xfId="42" applyNumberFormat="1" applyFont="1" applyBorder="1" applyAlignment="1">
      <alignment horizontal="center" vertical="center" wrapText="1"/>
    </xf>
    <xf numFmtId="1" fontId="1" fillId="0" borderId="10" xfId="67" applyNumberFormat="1" applyFont="1" applyBorder="1" applyAlignment="1" quotePrefix="1">
      <alignment horizontal="left" vertical="center" wrapText="1"/>
      <protection/>
    </xf>
    <xf numFmtId="1" fontId="1" fillId="0" borderId="10" xfId="67" applyNumberFormat="1" applyFont="1" applyBorder="1" applyAlignment="1" quotePrefix="1">
      <alignment horizontal="center" vertical="center" wrapText="1"/>
      <protection/>
    </xf>
    <xf numFmtId="1" fontId="1" fillId="33" borderId="10" xfId="67" applyNumberFormat="1" applyFont="1" applyFill="1" applyBorder="1" applyAlignment="1" quotePrefix="1">
      <alignment horizontal="left" vertical="center" wrapText="1"/>
      <protection/>
    </xf>
    <xf numFmtId="1" fontId="1" fillId="33" borderId="10" xfId="67" applyNumberFormat="1" applyFont="1" applyFill="1" applyBorder="1" applyAlignment="1" quotePrefix="1">
      <alignment horizontal="center" vertical="center" wrapText="1"/>
      <protection/>
    </xf>
    <xf numFmtId="1" fontId="2" fillId="0" borderId="10" xfId="67" applyNumberFormat="1" applyFont="1" applyBorder="1" applyAlignment="1" quotePrefix="1">
      <alignment horizontal="left" vertical="center" wrapText="1"/>
      <protection/>
    </xf>
    <xf numFmtId="1" fontId="2" fillId="0" borderId="10" xfId="67" applyNumberFormat="1" applyFont="1" applyBorder="1" applyAlignment="1" quotePrefix="1">
      <alignment horizontal="center" vertical="center" wrapText="1"/>
      <protection/>
    </xf>
    <xf numFmtId="1" fontId="2" fillId="33" borderId="10" xfId="67" applyNumberFormat="1" applyFont="1" applyFill="1" applyBorder="1" applyAlignment="1" quotePrefix="1">
      <alignment horizontal="left" vertical="center" wrapText="1"/>
      <protection/>
    </xf>
    <xf numFmtId="1" fontId="1" fillId="0" borderId="11" xfId="67" applyNumberFormat="1" applyFont="1" applyBorder="1" applyAlignment="1" quotePrefix="1">
      <alignment horizontal="center" vertical="center" wrapText="1"/>
      <protection/>
    </xf>
    <xf numFmtId="175" fontId="1" fillId="0" borderId="12" xfId="42" applyNumberFormat="1" applyFont="1" applyBorder="1" applyAlignment="1">
      <alignment horizontal="center" vertical="center" wrapText="1"/>
    </xf>
    <xf numFmtId="0" fontId="2" fillId="0" borderId="0" xfId="0" applyFont="1" applyAlignment="1">
      <alignment horizontal="center"/>
    </xf>
    <xf numFmtId="0" fontId="2" fillId="33" borderId="10" xfId="62" applyFont="1" applyFill="1" applyBorder="1" applyAlignment="1" quotePrefix="1">
      <alignment horizontal="center" vertical="center"/>
      <protection/>
    </xf>
    <xf numFmtId="173" fontId="2" fillId="0" borderId="10" xfId="42" applyNumberFormat="1" applyFont="1" applyBorder="1" applyAlignment="1">
      <alignment horizontal="center" vertical="center" wrapText="1"/>
    </xf>
    <xf numFmtId="173" fontId="1" fillId="0" borderId="10" xfId="42" applyNumberFormat="1" applyFont="1" applyBorder="1" applyAlignment="1">
      <alignment horizontal="center" vertical="center" wrapText="1"/>
    </xf>
    <xf numFmtId="184" fontId="1" fillId="0" borderId="0" xfId="0" applyNumberFormat="1" applyFont="1" applyAlignment="1">
      <alignment/>
    </xf>
    <xf numFmtId="49" fontId="1" fillId="34" borderId="10" xfId="44" applyNumberFormat="1" applyFont="1" applyFill="1" applyBorder="1" applyAlignment="1">
      <alignment horizontal="center" vertical="center"/>
    </xf>
    <xf numFmtId="175" fontId="2" fillId="34" borderId="10" xfId="42" applyNumberFormat="1" applyFont="1" applyFill="1" applyBorder="1" applyAlignment="1">
      <alignment horizontal="center" vertical="center" wrapText="1"/>
    </xf>
    <xf numFmtId="173" fontId="2" fillId="34" borderId="10" xfId="42" applyNumberFormat="1" applyFont="1" applyFill="1" applyBorder="1" applyAlignment="1">
      <alignment horizontal="center" vertical="center" wrapText="1"/>
    </xf>
    <xf numFmtId="3" fontId="2" fillId="34" borderId="10" xfId="67" applyNumberFormat="1" applyFont="1" applyFill="1" applyBorder="1" applyAlignment="1">
      <alignment horizontal="center" vertical="center" wrapText="1"/>
      <protection/>
    </xf>
    <xf numFmtId="0" fontId="2" fillId="34" borderId="10" xfId="61" applyNumberFormat="1" applyFont="1" applyFill="1" applyBorder="1" applyAlignment="1" quotePrefix="1">
      <alignment horizontal="left" vertical="center" wrapText="1"/>
      <protection/>
    </xf>
    <xf numFmtId="0" fontId="2" fillId="34" borderId="10" xfId="61" applyNumberFormat="1" applyFont="1" applyFill="1" applyBorder="1" applyAlignment="1" quotePrefix="1">
      <alignment horizontal="center" vertical="center" wrapText="1"/>
      <protection/>
    </xf>
    <xf numFmtId="0" fontId="1" fillId="34" borderId="10" xfId="62" applyFont="1" applyFill="1" applyBorder="1" applyAlignment="1" quotePrefix="1">
      <alignment horizontal="center" vertical="center"/>
      <protection/>
    </xf>
    <xf numFmtId="175" fontId="51" fillId="0" borderId="10" xfId="42" applyNumberFormat="1" applyFont="1" applyBorder="1" applyAlignment="1">
      <alignment horizontal="center" vertical="center" wrapText="1"/>
    </xf>
    <xf numFmtId="0" fontId="7" fillId="0" borderId="0" xfId="0" applyFont="1" applyAlignment="1">
      <alignment vertical="center"/>
    </xf>
    <xf numFmtId="0" fontId="2" fillId="0" borderId="0" xfId="0" applyFont="1" applyAlignment="1">
      <alignment/>
    </xf>
    <xf numFmtId="3" fontId="2" fillId="33" borderId="11" xfId="67" applyNumberFormat="1" applyFont="1" applyFill="1" applyBorder="1" applyAlignment="1" quotePrefix="1">
      <alignment horizontal="center" vertical="center" wrapText="1"/>
      <protection/>
    </xf>
    <xf numFmtId="3" fontId="2" fillId="33" borderId="12" xfId="67" applyNumberFormat="1" applyFont="1" applyFill="1" applyBorder="1" applyAlignment="1" quotePrefix="1">
      <alignment horizontal="center" vertical="center" wrapText="1"/>
      <protection/>
    </xf>
    <xf numFmtId="1" fontId="2" fillId="0" borderId="11" xfId="67" applyNumberFormat="1" applyFont="1" applyBorder="1" applyAlignment="1" quotePrefix="1">
      <alignment horizontal="center" vertical="center" wrapText="1"/>
      <protection/>
    </xf>
    <xf numFmtId="49" fontId="2" fillId="33" borderId="10" xfId="44" applyNumberFormat="1" applyFont="1" applyFill="1" applyBorder="1" applyAlignment="1">
      <alignment horizontal="center" vertical="center"/>
    </xf>
    <xf numFmtId="1" fontId="2" fillId="0" borderId="13" xfId="67" applyNumberFormat="1" applyFont="1" applyBorder="1" applyAlignment="1" quotePrefix="1">
      <alignment horizontal="center" vertical="center" wrapText="1"/>
      <protection/>
    </xf>
    <xf numFmtId="1" fontId="2" fillId="0" borderId="12" xfId="67" applyNumberFormat="1" applyFont="1" applyBorder="1" applyAlignment="1" quotePrefix="1">
      <alignment horizontal="center" vertical="center" wrapText="1"/>
      <protection/>
    </xf>
    <xf numFmtId="0" fontId="2" fillId="33" borderId="11" xfId="61" applyNumberFormat="1" applyFont="1" applyFill="1" applyBorder="1" applyAlignment="1" quotePrefix="1">
      <alignment horizontal="center" vertical="center" wrapText="1"/>
      <protection/>
    </xf>
    <xf numFmtId="3" fontId="1" fillId="34" borderId="10" xfId="67" applyNumberFormat="1" applyFont="1" applyFill="1" applyBorder="1" applyAlignment="1">
      <alignment horizontal="center" vertical="center" wrapText="1"/>
      <protection/>
    </xf>
    <xf numFmtId="1" fontId="2" fillId="34" borderId="10" xfId="67" applyNumberFormat="1" applyFont="1" applyFill="1" applyBorder="1" applyAlignment="1" quotePrefix="1">
      <alignment horizontal="left" vertical="center" wrapText="1"/>
      <protection/>
    </xf>
    <xf numFmtId="1" fontId="2" fillId="34" borderId="10" xfId="67" applyNumberFormat="1" applyFont="1" applyFill="1" applyBorder="1" applyAlignment="1" quotePrefix="1">
      <alignment horizontal="center" vertical="center" wrapText="1"/>
      <protection/>
    </xf>
    <xf numFmtId="0" fontId="2" fillId="34" borderId="10" xfId="62" applyFont="1" applyFill="1" applyBorder="1" applyAlignment="1" quotePrefix="1">
      <alignment horizontal="center" vertical="center"/>
      <protection/>
    </xf>
    <xf numFmtId="175" fontId="1" fillId="34" borderId="10" xfId="42" applyNumberFormat="1" applyFont="1" applyFill="1" applyBorder="1" applyAlignment="1">
      <alignment horizontal="center" vertical="center" wrapText="1"/>
    </xf>
    <xf numFmtId="3" fontId="2" fillId="35" borderId="10" xfId="67" applyNumberFormat="1" applyFont="1" applyFill="1" applyBorder="1" applyAlignment="1">
      <alignment horizontal="center" vertical="center" wrapText="1"/>
      <protection/>
    </xf>
    <xf numFmtId="0" fontId="2" fillId="35" borderId="10" xfId="61" applyNumberFormat="1" applyFont="1" applyFill="1" applyBorder="1" applyAlignment="1" quotePrefix="1">
      <alignment horizontal="left" vertical="center" wrapText="1"/>
      <protection/>
    </xf>
    <xf numFmtId="0" fontId="2" fillId="35" borderId="10" xfId="61" applyNumberFormat="1" applyFont="1" applyFill="1" applyBorder="1" applyAlignment="1" quotePrefix="1">
      <alignment horizontal="center" vertical="center" wrapText="1"/>
      <protection/>
    </xf>
    <xf numFmtId="0" fontId="1" fillId="35" borderId="10" xfId="62" applyFont="1" applyFill="1" applyBorder="1" applyAlignment="1" quotePrefix="1">
      <alignment horizontal="center" vertical="center"/>
      <protection/>
    </xf>
    <xf numFmtId="175" fontId="2" fillId="35" borderId="10" xfId="42" applyNumberFormat="1" applyFont="1" applyFill="1" applyBorder="1" applyAlignment="1">
      <alignment horizontal="center" vertical="center" wrapText="1"/>
    </xf>
    <xf numFmtId="173" fontId="2" fillId="35" borderId="10" xfId="42" applyNumberFormat="1" applyFont="1" applyFill="1" applyBorder="1" applyAlignment="1">
      <alignment horizontal="center" vertical="center" wrapText="1"/>
    </xf>
    <xf numFmtId="3" fontId="2" fillId="35" borderId="10" xfId="67" applyNumberFormat="1" applyFont="1" applyFill="1" applyBorder="1" applyAlignment="1" quotePrefix="1">
      <alignment horizontal="center" vertical="center" wrapText="1"/>
      <protection/>
    </xf>
    <xf numFmtId="3" fontId="2" fillId="35" borderId="10" xfId="67" applyNumberFormat="1" applyFont="1" applyFill="1" applyBorder="1" applyAlignment="1" quotePrefix="1">
      <alignment horizontal="left" vertical="center" wrapText="1"/>
      <protection/>
    </xf>
    <xf numFmtId="49" fontId="1" fillId="35" borderId="10" xfId="44" applyNumberFormat="1" applyFont="1" applyFill="1" applyBorder="1" applyAlignment="1">
      <alignment horizontal="center" vertical="center"/>
    </xf>
    <xf numFmtId="0" fontId="1" fillId="0" borderId="10" xfId="0" applyFont="1" applyBorder="1" applyAlignment="1">
      <alignment horizontal="center"/>
    </xf>
    <xf numFmtId="1" fontId="2" fillId="0" borderId="10" xfId="67" applyNumberFormat="1" applyFont="1" applyBorder="1" applyAlignment="1" quotePrefix="1">
      <alignment vertical="center" wrapText="1"/>
      <protection/>
    </xf>
    <xf numFmtId="175" fontId="1" fillId="0" borderId="0" xfId="42" applyNumberFormat="1" applyFont="1" applyBorder="1" applyAlignment="1">
      <alignment horizontal="center" vertical="center" wrapText="1"/>
    </xf>
    <xf numFmtId="175" fontId="1" fillId="0" borderId="0" xfId="0" applyNumberFormat="1" applyFont="1" applyAlignment="1">
      <alignment/>
    </xf>
    <xf numFmtId="173" fontId="1" fillId="0" borderId="0" xfId="0" applyNumberFormat="1" applyFont="1" applyAlignment="1">
      <alignment/>
    </xf>
    <xf numFmtId="175" fontId="52" fillId="0" borderId="10" xfId="42" applyNumberFormat="1" applyFont="1" applyBorder="1" applyAlignment="1">
      <alignment horizontal="center" vertical="center" wrapText="1"/>
    </xf>
    <xf numFmtId="175" fontId="1" fillId="33" borderId="10" xfId="42" applyNumberFormat="1" applyFont="1" applyFill="1" applyBorder="1" applyAlignment="1">
      <alignment horizontal="center" vertical="center" wrapText="1"/>
    </xf>
    <xf numFmtId="1" fontId="1" fillId="0" borderId="11" xfId="67" applyNumberFormat="1" applyFont="1" applyBorder="1" applyAlignment="1" quotePrefix="1">
      <alignment horizontal="center" vertical="center" wrapText="1"/>
      <protection/>
    </xf>
    <xf numFmtId="1" fontId="1" fillId="0" borderId="13" xfId="67" applyNumberFormat="1" applyFont="1" applyBorder="1" applyAlignment="1" quotePrefix="1">
      <alignment horizontal="center" vertical="center" wrapText="1"/>
      <protection/>
    </xf>
    <xf numFmtId="1" fontId="1" fillId="0" borderId="12" xfId="67" applyNumberFormat="1" applyFont="1" applyBorder="1" applyAlignment="1" quotePrefix="1">
      <alignment horizontal="center" vertical="center" wrapText="1"/>
      <protection/>
    </xf>
    <xf numFmtId="49" fontId="2" fillId="33" borderId="10" xfId="67" applyNumberFormat="1" applyFont="1" applyFill="1" applyBorder="1" applyAlignment="1">
      <alignment horizontal="center" vertical="center" wrapText="1"/>
      <protection/>
    </xf>
    <xf numFmtId="1" fontId="1" fillId="0" borderId="10" xfId="67" applyNumberFormat="1" applyFont="1" applyBorder="1" applyAlignment="1" quotePrefix="1">
      <alignment horizontal="center" vertical="center" wrapText="1"/>
      <protection/>
    </xf>
    <xf numFmtId="175" fontId="2" fillId="0" borderId="10" xfId="42" applyNumberFormat="1" applyFont="1" applyBorder="1" applyAlignment="1">
      <alignment horizontal="center" vertical="center" wrapText="1"/>
    </xf>
    <xf numFmtId="9" fontId="2" fillId="0" borderId="10" xfId="70" applyFont="1" applyBorder="1" applyAlignment="1">
      <alignment horizontal="center" vertical="center" wrapText="1"/>
    </xf>
    <xf numFmtId="3" fontId="1" fillId="33" borderId="11" xfId="67" applyNumberFormat="1" applyFont="1" applyFill="1" applyBorder="1" applyAlignment="1" quotePrefix="1">
      <alignment horizontal="center" vertical="center" wrapText="1"/>
      <protection/>
    </xf>
    <xf numFmtId="3" fontId="1" fillId="33" borderId="13" xfId="67" applyNumberFormat="1" applyFont="1" applyFill="1" applyBorder="1" applyAlignment="1" quotePrefix="1">
      <alignment horizontal="center" vertical="center" wrapText="1"/>
      <protection/>
    </xf>
    <xf numFmtId="3" fontId="1" fillId="33" borderId="12" xfId="67" applyNumberFormat="1" applyFont="1" applyFill="1" applyBorder="1" applyAlignment="1" quotePrefix="1">
      <alignment horizontal="center" vertical="center" wrapText="1"/>
      <protection/>
    </xf>
    <xf numFmtId="175" fontId="1" fillId="0" borderId="11" xfId="42" applyNumberFormat="1" applyFont="1" applyBorder="1" applyAlignment="1">
      <alignment horizontal="center" vertical="center" wrapText="1"/>
    </xf>
    <xf numFmtId="175" fontId="1" fillId="0" borderId="13" xfId="42" applyNumberFormat="1" applyFont="1" applyBorder="1" applyAlignment="1">
      <alignment horizontal="center" vertical="center" wrapText="1"/>
    </xf>
    <xf numFmtId="175" fontId="1" fillId="0" borderId="12" xfId="42" applyNumberFormat="1" applyFont="1" applyBorder="1" applyAlignment="1">
      <alignment horizontal="center" vertical="center" wrapText="1"/>
    </xf>
    <xf numFmtId="0" fontId="2" fillId="0" borderId="10" xfId="0" applyFont="1" applyBorder="1" applyAlignment="1">
      <alignment horizontal="center" vertical="center" shrinkToFit="1"/>
    </xf>
    <xf numFmtId="0" fontId="7" fillId="0" borderId="0" xfId="0" applyFont="1" applyAlignment="1">
      <alignment horizontal="center" vertical="center"/>
    </xf>
    <xf numFmtId="0" fontId="2" fillId="0" borderId="0" xfId="0" applyFont="1" applyAlignment="1">
      <alignment horizontal="center"/>
    </xf>
    <xf numFmtId="9" fontId="51" fillId="0" borderId="10" xfId="70" applyFont="1" applyBorder="1" applyAlignment="1">
      <alignment horizontal="center" vertical="center" wrapText="1"/>
    </xf>
    <xf numFmtId="175" fontId="2" fillId="33" borderId="10" xfId="67" applyNumberFormat="1" applyFont="1" applyFill="1" applyBorder="1" applyAlignment="1">
      <alignment horizontal="center" vertical="center" wrapText="1"/>
      <protection/>
    </xf>
    <xf numFmtId="175" fontId="51" fillId="0" borderId="10" xfId="42" applyNumberFormat="1" applyFont="1" applyBorder="1" applyAlignment="1">
      <alignment horizontal="center" vertical="center" wrapText="1"/>
    </xf>
    <xf numFmtId="175" fontId="1" fillId="33" borderId="11" xfId="42" applyNumberFormat="1" applyFont="1" applyFill="1" applyBorder="1" applyAlignment="1">
      <alignment horizontal="center" vertical="center" wrapText="1"/>
    </xf>
    <xf numFmtId="175" fontId="1" fillId="33" borderId="12" xfId="42" applyNumberFormat="1" applyFont="1" applyFill="1" applyBorder="1" applyAlignment="1">
      <alignment horizontal="center" vertical="center" wrapText="1"/>
    </xf>
    <xf numFmtId="0" fontId="3" fillId="0" borderId="14" xfId="0" applyFont="1" applyBorder="1" applyAlignment="1">
      <alignment horizontal="righ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Format-Optionen" xfId="39"/>
    <cellStyle name="Bad" xfId="40"/>
    <cellStyle name="Calculation" xfId="41"/>
    <cellStyle name="Comma" xfId="42"/>
    <cellStyle name="Comma [0]" xfId="43"/>
    <cellStyle name="Comma 2" xfId="44"/>
    <cellStyle name="Comma 2 10" xfId="45"/>
    <cellStyle name="Comma 2 2"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2" xfId="62"/>
    <cellStyle name="Normal 2 44" xfId="63"/>
    <cellStyle name="Normal 3" xfId="64"/>
    <cellStyle name="Normal 4 18" xfId="65"/>
    <cellStyle name="Normal 6 6" xfId="66"/>
    <cellStyle name="Normal_Bieu mau (CV )" xfId="67"/>
    <cellStyle name="Note"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80</xdr:row>
      <xdr:rowOff>0</xdr:rowOff>
    </xdr:from>
    <xdr:ext cx="76200" cy="38100"/>
    <xdr:sp fLocksText="0">
      <xdr:nvSpPr>
        <xdr:cNvPr id="1"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3"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4"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5"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6"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7"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8"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9"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0"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1"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2"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3"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4"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5"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6"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7"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8"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9"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0"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1"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2"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3"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4"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5"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6"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7"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8"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9"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30"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31"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32"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33"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34"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35"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36"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37"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38"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39"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40"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41"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42"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43"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44"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45"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46"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47"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48"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49"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50"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51"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52"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53"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54" name="Text Box 8"/>
        <xdr:cNvSpPr txBox="1">
          <a:spLocks noChangeArrowheads="1"/>
        </xdr:cNvSpPr>
      </xdr:nvSpPr>
      <xdr:spPr>
        <a:xfrm>
          <a:off x="48577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55"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56"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57"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80</xdr:row>
      <xdr:rowOff>0</xdr:rowOff>
    </xdr:from>
    <xdr:ext cx="76200" cy="38100"/>
    <xdr:sp fLocksText="0">
      <xdr:nvSpPr>
        <xdr:cNvPr id="58" name="Text Box 11"/>
        <xdr:cNvSpPr txBox="1">
          <a:spLocks noChangeArrowheads="1"/>
        </xdr:cNvSpPr>
      </xdr:nvSpPr>
      <xdr:spPr>
        <a:xfrm>
          <a:off x="5048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59" name="Text Box 8"/>
        <xdr:cNvSpPr txBox="1">
          <a:spLocks noChangeArrowheads="1"/>
        </xdr:cNvSpPr>
      </xdr:nvSpPr>
      <xdr:spPr>
        <a:xfrm>
          <a:off x="428625" y="2147887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60" name="Text Box 9"/>
        <xdr:cNvSpPr txBox="1">
          <a:spLocks noChangeArrowheads="1"/>
        </xdr:cNvSpPr>
      </xdr:nvSpPr>
      <xdr:spPr>
        <a:xfrm>
          <a:off x="428625" y="2147887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61" name="Text Box 11"/>
        <xdr:cNvSpPr txBox="1">
          <a:spLocks noChangeArrowheads="1"/>
        </xdr:cNvSpPr>
      </xdr:nvSpPr>
      <xdr:spPr>
        <a:xfrm>
          <a:off x="428625" y="2147887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62"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63"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64"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65" name="Text Box 8"/>
        <xdr:cNvSpPr txBox="1">
          <a:spLocks noChangeArrowheads="1"/>
        </xdr:cNvSpPr>
      </xdr:nvSpPr>
      <xdr:spPr>
        <a:xfrm>
          <a:off x="428625" y="2147887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66" name="Text Box 9"/>
        <xdr:cNvSpPr txBox="1">
          <a:spLocks noChangeArrowheads="1"/>
        </xdr:cNvSpPr>
      </xdr:nvSpPr>
      <xdr:spPr>
        <a:xfrm>
          <a:off x="428625" y="2147887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67" name="Text Box 11"/>
        <xdr:cNvSpPr txBox="1">
          <a:spLocks noChangeArrowheads="1"/>
        </xdr:cNvSpPr>
      </xdr:nvSpPr>
      <xdr:spPr>
        <a:xfrm>
          <a:off x="428625" y="2147887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68"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69"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70"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71" name="Text Box 8"/>
        <xdr:cNvSpPr txBox="1">
          <a:spLocks noChangeArrowheads="1"/>
        </xdr:cNvSpPr>
      </xdr:nvSpPr>
      <xdr:spPr>
        <a:xfrm>
          <a:off x="48577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72" name="Text Box 8"/>
        <xdr:cNvSpPr txBox="1">
          <a:spLocks noChangeArrowheads="1"/>
        </xdr:cNvSpPr>
      </xdr:nvSpPr>
      <xdr:spPr>
        <a:xfrm>
          <a:off x="48577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73"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74"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75"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76"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77"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78"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79"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80"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81"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82"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83"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84"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85"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86"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87"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88"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89"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90"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91"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92"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93"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94"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95"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96"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97"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98"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99"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00"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01"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02"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03"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04"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05"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06"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07"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108" name="Text Box 8"/>
        <xdr:cNvSpPr txBox="1">
          <a:spLocks noChangeArrowheads="1"/>
        </xdr:cNvSpPr>
      </xdr:nvSpPr>
      <xdr:spPr>
        <a:xfrm>
          <a:off x="48577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09"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10"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11"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112" name="Text Box 8"/>
        <xdr:cNvSpPr txBox="1">
          <a:spLocks noChangeArrowheads="1"/>
        </xdr:cNvSpPr>
      </xdr:nvSpPr>
      <xdr:spPr>
        <a:xfrm>
          <a:off x="428625" y="214788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113" name="Text Box 9"/>
        <xdr:cNvSpPr txBox="1">
          <a:spLocks noChangeArrowheads="1"/>
        </xdr:cNvSpPr>
      </xdr:nvSpPr>
      <xdr:spPr>
        <a:xfrm>
          <a:off x="428625" y="214788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114" name="Text Box 11"/>
        <xdr:cNvSpPr txBox="1">
          <a:spLocks noChangeArrowheads="1"/>
        </xdr:cNvSpPr>
      </xdr:nvSpPr>
      <xdr:spPr>
        <a:xfrm>
          <a:off x="428625" y="214788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15"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16"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17"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118" name="Text Box 8"/>
        <xdr:cNvSpPr txBox="1">
          <a:spLocks noChangeArrowheads="1"/>
        </xdr:cNvSpPr>
      </xdr:nvSpPr>
      <xdr:spPr>
        <a:xfrm>
          <a:off x="428625" y="214788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119" name="Text Box 9"/>
        <xdr:cNvSpPr txBox="1">
          <a:spLocks noChangeArrowheads="1"/>
        </xdr:cNvSpPr>
      </xdr:nvSpPr>
      <xdr:spPr>
        <a:xfrm>
          <a:off x="428625" y="214788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120" name="Text Box 11"/>
        <xdr:cNvSpPr txBox="1">
          <a:spLocks noChangeArrowheads="1"/>
        </xdr:cNvSpPr>
      </xdr:nvSpPr>
      <xdr:spPr>
        <a:xfrm>
          <a:off x="428625" y="214788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21"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22"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23"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124" name="Text Box 8"/>
        <xdr:cNvSpPr txBox="1">
          <a:spLocks noChangeArrowheads="1"/>
        </xdr:cNvSpPr>
      </xdr:nvSpPr>
      <xdr:spPr>
        <a:xfrm>
          <a:off x="48577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125" name="Text Box 8"/>
        <xdr:cNvSpPr txBox="1">
          <a:spLocks noChangeArrowheads="1"/>
        </xdr:cNvSpPr>
      </xdr:nvSpPr>
      <xdr:spPr>
        <a:xfrm>
          <a:off x="48577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26"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27"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28"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29"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30"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31"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32"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33"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34"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35"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36"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37"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38"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39"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40"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41"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42"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43"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44"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45"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46"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47"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48"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49"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50"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51"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52"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53"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54"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55"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56"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57"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58"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59"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60"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61"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62"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63"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64"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65"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66"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67"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68"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69"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70"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71"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72"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73"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74"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75"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76"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77"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78"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79"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180" name="Text Box 8"/>
        <xdr:cNvSpPr txBox="1">
          <a:spLocks noChangeArrowheads="1"/>
        </xdr:cNvSpPr>
      </xdr:nvSpPr>
      <xdr:spPr>
        <a:xfrm>
          <a:off x="48577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81"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82"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83"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80</xdr:row>
      <xdr:rowOff>0</xdr:rowOff>
    </xdr:from>
    <xdr:ext cx="76200" cy="38100"/>
    <xdr:sp fLocksText="0">
      <xdr:nvSpPr>
        <xdr:cNvPr id="184" name="Text Box 11"/>
        <xdr:cNvSpPr txBox="1">
          <a:spLocks noChangeArrowheads="1"/>
        </xdr:cNvSpPr>
      </xdr:nvSpPr>
      <xdr:spPr>
        <a:xfrm>
          <a:off x="5048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185" name="Text Box 8"/>
        <xdr:cNvSpPr txBox="1">
          <a:spLocks noChangeArrowheads="1"/>
        </xdr:cNvSpPr>
      </xdr:nvSpPr>
      <xdr:spPr>
        <a:xfrm>
          <a:off x="428625" y="2147887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186" name="Text Box 9"/>
        <xdr:cNvSpPr txBox="1">
          <a:spLocks noChangeArrowheads="1"/>
        </xdr:cNvSpPr>
      </xdr:nvSpPr>
      <xdr:spPr>
        <a:xfrm>
          <a:off x="428625" y="2147887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187" name="Text Box 11"/>
        <xdr:cNvSpPr txBox="1">
          <a:spLocks noChangeArrowheads="1"/>
        </xdr:cNvSpPr>
      </xdr:nvSpPr>
      <xdr:spPr>
        <a:xfrm>
          <a:off x="428625" y="2147887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88"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89"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90"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191" name="Text Box 8"/>
        <xdr:cNvSpPr txBox="1">
          <a:spLocks noChangeArrowheads="1"/>
        </xdr:cNvSpPr>
      </xdr:nvSpPr>
      <xdr:spPr>
        <a:xfrm>
          <a:off x="428625" y="2147887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192" name="Text Box 9"/>
        <xdr:cNvSpPr txBox="1">
          <a:spLocks noChangeArrowheads="1"/>
        </xdr:cNvSpPr>
      </xdr:nvSpPr>
      <xdr:spPr>
        <a:xfrm>
          <a:off x="428625" y="2147887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193" name="Text Box 11"/>
        <xdr:cNvSpPr txBox="1">
          <a:spLocks noChangeArrowheads="1"/>
        </xdr:cNvSpPr>
      </xdr:nvSpPr>
      <xdr:spPr>
        <a:xfrm>
          <a:off x="428625" y="2147887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94"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95"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96"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197" name="Text Box 8"/>
        <xdr:cNvSpPr txBox="1">
          <a:spLocks noChangeArrowheads="1"/>
        </xdr:cNvSpPr>
      </xdr:nvSpPr>
      <xdr:spPr>
        <a:xfrm>
          <a:off x="48577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198" name="Text Box 8"/>
        <xdr:cNvSpPr txBox="1">
          <a:spLocks noChangeArrowheads="1"/>
        </xdr:cNvSpPr>
      </xdr:nvSpPr>
      <xdr:spPr>
        <a:xfrm>
          <a:off x="48577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80</xdr:row>
      <xdr:rowOff>0</xdr:rowOff>
    </xdr:from>
    <xdr:ext cx="76200" cy="38100"/>
    <xdr:sp fLocksText="0">
      <xdr:nvSpPr>
        <xdr:cNvPr id="199" name="Text Box 11"/>
        <xdr:cNvSpPr txBox="1">
          <a:spLocks noChangeArrowheads="1"/>
        </xdr:cNvSpPr>
      </xdr:nvSpPr>
      <xdr:spPr>
        <a:xfrm>
          <a:off x="4667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00"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01"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02"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03"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04"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05"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06"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07"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08"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09"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10"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11"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12"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13"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14"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15"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16"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17"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18"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19"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20"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21"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22"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23"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24"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25"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26"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27"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28"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29"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30"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31"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32"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33"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34"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235" name="Text Box 8"/>
        <xdr:cNvSpPr txBox="1">
          <a:spLocks noChangeArrowheads="1"/>
        </xdr:cNvSpPr>
      </xdr:nvSpPr>
      <xdr:spPr>
        <a:xfrm>
          <a:off x="48577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36"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37"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38"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239" name="Text Box 8"/>
        <xdr:cNvSpPr txBox="1">
          <a:spLocks noChangeArrowheads="1"/>
        </xdr:cNvSpPr>
      </xdr:nvSpPr>
      <xdr:spPr>
        <a:xfrm>
          <a:off x="428625" y="214788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240" name="Text Box 9"/>
        <xdr:cNvSpPr txBox="1">
          <a:spLocks noChangeArrowheads="1"/>
        </xdr:cNvSpPr>
      </xdr:nvSpPr>
      <xdr:spPr>
        <a:xfrm>
          <a:off x="428625" y="214788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241" name="Text Box 11"/>
        <xdr:cNvSpPr txBox="1">
          <a:spLocks noChangeArrowheads="1"/>
        </xdr:cNvSpPr>
      </xdr:nvSpPr>
      <xdr:spPr>
        <a:xfrm>
          <a:off x="428625" y="214788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42"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43"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44"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245" name="Text Box 8"/>
        <xdr:cNvSpPr txBox="1">
          <a:spLocks noChangeArrowheads="1"/>
        </xdr:cNvSpPr>
      </xdr:nvSpPr>
      <xdr:spPr>
        <a:xfrm>
          <a:off x="428625" y="214788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246" name="Text Box 9"/>
        <xdr:cNvSpPr txBox="1">
          <a:spLocks noChangeArrowheads="1"/>
        </xdr:cNvSpPr>
      </xdr:nvSpPr>
      <xdr:spPr>
        <a:xfrm>
          <a:off x="428625" y="214788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247" name="Text Box 11"/>
        <xdr:cNvSpPr txBox="1">
          <a:spLocks noChangeArrowheads="1"/>
        </xdr:cNvSpPr>
      </xdr:nvSpPr>
      <xdr:spPr>
        <a:xfrm>
          <a:off x="428625" y="214788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48" name="Text Box 8"/>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49" name="Text Box 9"/>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50" name="Text Box 11"/>
        <xdr:cNvSpPr txBox="1">
          <a:spLocks noChangeArrowheads="1"/>
        </xdr:cNvSpPr>
      </xdr:nvSpPr>
      <xdr:spPr>
        <a:xfrm>
          <a:off x="42862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251" name="Text Box 8"/>
        <xdr:cNvSpPr txBox="1">
          <a:spLocks noChangeArrowheads="1"/>
        </xdr:cNvSpPr>
      </xdr:nvSpPr>
      <xdr:spPr>
        <a:xfrm>
          <a:off x="48577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252" name="Text Box 8"/>
        <xdr:cNvSpPr txBox="1">
          <a:spLocks noChangeArrowheads="1"/>
        </xdr:cNvSpPr>
      </xdr:nvSpPr>
      <xdr:spPr>
        <a:xfrm>
          <a:off x="485775" y="21478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714375</xdr:colOff>
      <xdr:row>1</xdr:row>
      <xdr:rowOff>95250</xdr:rowOff>
    </xdr:from>
    <xdr:to>
      <xdr:col>1</xdr:col>
      <xdr:colOff>1390650</xdr:colOff>
      <xdr:row>1</xdr:row>
      <xdr:rowOff>95250</xdr:rowOff>
    </xdr:to>
    <xdr:sp>
      <xdr:nvSpPr>
        <xdr:cNvPr id="253" name="Straight Connector 2"/>
        <xdr:cNvSpPr>
          <a:spLocks/>
        </xdr:cNvSpPr>
      </xdr:nvSpPr>
      <xdr:spPr>
        <a:xfrm>
          <a:off x="1143000" y="257175"/>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05"/>
  <sheetViews>
    <sheetView tabSelected="1" zoomScale="82" zoomScaleNormal="82" zoomScalePageLayoutView="0" workbookViewId="0" topLeftCell="A1">
      <pane ySplit="9" topLeftCell="A119" activePane="bottomLeft" state="frozen"/>
      <selection pane="topLeft" activeCell="A1" sqref="A1"/>
      <selection pane="bottomLeft" activeCell="B137" sqref="B137"/>
    </sheetView>
  </sheetViews>
  <sheetFormatPr defaultColWidth="9.140625" defaultRowHeight="12.75"/>
  <cols>
    <col min="1" max="1" width="6.421875" style="1" customWidth="1"/>
    <col min="2" max="2" width="39.8515625" style="1" customWidth="1"/>
    <col min="3" max="3" width="21.140625" style="4" customWidth="1"/>
    <col min="4" max="4" width="10.57421875" style="4" customWidth="1"/>
    <col min="5" max="5" width="8.57421875" style="4" customWidth="1"/>
    <col min="6" max="14" width="8.57421875" style="1" customWidth="1"/>
    <col min="15" max="15" width="8.57421875" style="63" customWidth="1"/>
    <col min="16" max="16" width="8.57421875" style="1" customWidth="1"/>
    <col min="17" max="16384" width="9.140625" style="1" customWidth="1"/>
  </cols>
  <sheetData>
    <row r="1" spans="1:5" ht="12.75">
      <c r="A1" s="82" t="s">
        <v>6</v>
      </c>
      <c r="B1" s="82"/>
      <c r="C1" s="38"/>
      <c r="D1" s="38"/>
      <c r="E1" s="24"/>
    </row>
    <row r="2" spans="1:2" ht="12.75">
      <c r="A2" s="82"/>
      <c r="B2" s="82"/>
    </row>
    <row r="3" spans="1:2" ht="12.75">
      <c r="A3" s="4"/>
      <c r="B3" s="4"/>
    </row>
    <row r="4" spans="1:26" ht="15">
      <c r="A4" s="81" t="s">
        <v>312</v>
      </c>
      <c r="B4" s="81"/>
      <c r="C4" s="81"/>
      <c r="D4" s="81"/>
      <c r="E4" s="81"/>
      <c r="F4" s="81"/>
      <c r="G4" s="81"/>
      <c r="H4" s="81"/>
      <c r="I4" s="81"/>
      <c r="J4" s="81"/>
      <c r="K4" s="81"/>
      <c r="L4" s="81"/>
      <c r="M4" s="81"/>
      <c r="N4" s="81"/>
      <c r="O4" s="81"/>
      <c r="P4" s="81"/>
      <c r="Q4" s="37"/>
      <c r="R4" s="37"/>
      <c r="S4" s="37"/>
      <c r="T4" s="37"/>
      <c r="U4" s="37"/>
      <c r="V4" s="37"/>
      <c r="W4" s="37"/>
      <c r="X4" s="37"/>
      <c r="Y4" s="37"/>
      <c r="Z4" s="37"/>
    </row>
    <row r="5" spans="1:16" ht="12.75">
      <c r="A5" s="82" t="s">
        <v>314</v>
      </c>
      <c r="B5" s="82"/>
      <c r="C5" s="82"/>
      <c r="D5" s="82"/>
      <c r="E5" s="82"/>
      <c r="F5" s="82"/>
      <c r="G5" s="82"/>
      <c r="H5" s="82"/>
      <c r="I5" s="82"/>
      <c r="J5" s="82"/>
      <c r="K5" s="82"/>
      <c r="L5" s="82"/>
      <c r="M5" s="82"/>
      <c r="N5" s="82"/>
      <c r="O5" s="82"/>
      <c r="P5" s="82"/>
    </row>
    <row r="6" spans="6:16" ht="12.75">
      <c r="F6" s="28"/>
      <c r="O6" s="88" t="s">
        <v>311</v>
      </c>
      <c r="P6" s="88"/>
    </row>
    <row r="7" spans="1:19" ht="27" customHeight="1">
      <c r="A7" s="70" t="s">
        <v>1</v>
      </c>
      <c r="B7" s="70" t="s">
        <v>0</v>
      </c>
      <c r="C7" s="70" t="s">
        <v>229</v>
      </c>
      <c r="D7" s="70" t="s">
        <v>7</v>
      </c>
      <c r="E7" s="70" t="s">
        <v>298</v>
      </c>
      <c r="F7" s="80" t="s">
        <v>301</v>
      </c>
      <c r="G7" s="80"/>
      <c r="H7" s="80"/>
      <c r="I7" s="80"/>
      <c r="J7" s="70" t="s">
        <v>302</v>
      </c>
      <c r="K7" s="80" t="s">
        <v>301</v>
      </c>
      <c r="L7" s="80"/>
      <c r="M7" s="80"/>
      <c r="N7" s="80"/>
      <c r="O7" s="84" t="s">
        <v>306</v>
      </c>
      <c r="P7" s="73" t="s">
        <v>246</v>
      </c>
      <c r="S7" s="1" t="s">
        <v>225</v>
      </c>
    </row>
    <row r="8" spans="1:16" ht="27" customHeight="1">
      <c r="A8" s="70"/>
      <c r="B8" s="70"/>
      <c r="C8" s="70"/>
      <c r="D8" s="70"/>
      <c r="E8" s="70"/>
      <c r="F8" s="72" t="s">
        <v>224</v>
      </c>
      <c r="G8" s="72" t="s">
        <v>297</v>
      </c>
      <c r="H8" s="72"/>
      <c r="I8" s="73" t="s">
        <v>300</v>
      </c>
      <c r="J8" s="70"/>
      <c r="K8" s="72" t="s">
        <v>303</v>
      </c>
      <c r="L8" s="85" t="s">
        <v>297</v>
      </c>
      <c r="M8" s="85"/>
      <c r="N8" s="83" t="s">
        <v>305</v>
      </c>
      <c r="O8" s="84"/>
      <c r="P8" s="73"/>
    </row>
    <row r="9" spans="1:16" ht="114" customHeight="1">
      <c r="A9" s="70"/>
      <c r="B9" s="70"/>
      <c r="C9" s="70"/>
      <c r="D9" s="70"/>
      <c r="E9" s="70"/>
      <c r="F9" s="72"/>
      <c r="G9" s="13" t="s">
        <v>308</v>
      </c>
      <c r="H9" s="13" t="s">
        <v>299</v>
      </c>
      <c r="I9" s="73"/>
      <c r="J9" s="70"/>
      <c r="K9" s="72"/>
      <c r="L9" s="36" t="s">
        <v>308</v>
      </c>
      <c r="M9" s="36" t="s">
        <v>304</v>
      </c>
      <c r="N9" s="83"/>
      <c r="O9" s="84"/>
      <c r="P9" s="73"/>
    </row>
    <row r="10" spans="1:16" s="2" customFormat="1" ht="30" customHeight="1">
      <c r="A10" s="5"/>
      <c r="B10" s="5" t="s">
        <v>2</v>
      </c>
      <c r="C10" s="5"/>
      <c r="D10" s="12"/>
      <c r="E10" s="13">
        <f aca="true" t="shared" si="0" ref="E10:N10">E11+E64+E98</f>
        <v>213397.64887900001</v>
      </c>
      <c r="F10" s="13">
        <f t="shared" si="0"/>
        <v>64996.65369099999</v>
      </c>
      <c r="G10" s="13">
        <f t="shared" si="0"/>
        <v>43805.255114</v>
      </c>
      <c r="H10" s="13">
        <f t="shared" si="0"/>
        <v>21191.398577</v>
      </c>
      <c r="I10" s="13">
        <f t="shared" si="0"/>
        <v>148400.995188</v>
      </c>
      <c r="J10" s="13">
        <f t="shared" si="0"/>
        <v>41098.797181</v>
      </c>
      <c r="K10" s="13">
        <f t="shared" si="0"/>
        <v>9744.689593000001</v>
      </c>
      <c r="L10" s="13">
        <f t="shared" si="0"/>
        <v>1871.4651</v>
      </c>
      <c r="M10" s="13">
        <f t="shared" si="0"/>
        <v>7873.224493000001</v>
      </c>
      <c r="N10" s="13">
        <f t="shared" si="0"/>
        <v>31354.107588</v>
      </c>
      <c r="O10" s="26">
        <f>J10/E10*100</f>
        <v>19.25925491536399</v>
      </c>
      <c r="P10" s="13">
        <f>P11+P64+P98</f>
        <v>0</v>
      </c>
    </row>
    <row r="11" spans="1:16" s="2" customFormat="1" ht="25.5">
      <c r="A11" s="57" t="s">
        <v>3</v>
      </c>
      <c r="B11" s="58" t="s">
        <v>24</v>
      </c>
      <c r="C11" s="57"/>
      <c r="D11" s="59"/>
      <c r="E11" s="55">
        <f aca="true" t="shared" si="1" ref="E11:N11">E12</f>
        <v>72748.463338</v>
      </c>
      <c r="F11" s="55">
        <f t="shared" si="1"/>
        <v>21606.463337999994</v>
      </c>
      <c r="G11" s="55">
        <f t="shared" si="1"/>
        <v>12622.464437999999</v>
      </c>
      <c r="H11" s="55">
        <f t="shared" si="1"/>
        <v>8983.9989</v>
      </c>
      <c r="I11" s="55">
        <f t="shared" si="1"/>
        <v>51142</v>
      </c>
      <c r="J11" s="55">
        <f t="shared" si="1"/>
        <v>13575.305</v>
      </c>
      <c r="K11" s="55">
        <f t="shared" si="1"/>
        <v>3214.28</v>
      </c>
      <c r="L11" s="55">
        <f t="shared" si="1"/>
        <v>1779.7160999999999</v>
      </c>
      <c r="M11" s="55">
        <f t="shared" si="1"/>
        <v>1434.5639</v>
      </c>
      <c r="N11" s="55">
        <f t="shared" si="1"/>
        <v>10361.025</v>
      </c>
      <c r="O11" s="56">
        <f aca="true" t="shared" si="2" ref="O11:O61">J11/E11*100</f>
        <v>18.66060721712725</v>
      </c>
      <c r="P11" s="55">
        <f>P12</f>
        <v>0</v>
      </c>
    </row>
    <row r="12" spans="1:16" s="2" customFormat="1" ht="39">
      <c r="A12" s="5" t="s">
        <v>8</v>
      </c>
      <c r="B12" s="10" t="s">
        <v>123</v>
      </c>
      <c r="C12" s="5"/>
      <c r="D12" s="12"/>
      <c r="E12" s="13">
        <f aca="true" t="shared" si="3" ref="E12:N12">E13+E40+E42+E44+E47+E49+E52+E57+E61</f>
        <v>72748.463338</v>
      </c>
      <c r="F12" s="13">
        <f t="shared" si="3"/>
        <v>21606.463337999994</v>
      </c>
      <c r="G12" s="13">
        <f t="shared" si="3"/>
        <v>12622.464437999999</v>
      </c>
      <c r="H12" s="13">
        <f t="shared" si="3"/>
        <v>8983.9989</v>
      </c>
      <c r="I12" s="13">
        <f t="shared" si="3"/>
        <v>51142</v>
      </c>
      <c r="J12" s="13">
        <f t="shared" si="3"/>
        <v>13575.305</v>
      </c>
      <c r="K12" s="13">
        <f t="shared" si="3"/>
        <v>3214.28</v>
      </c>
      <c r="L12" s="13">
        <f t="shared" si="3"/>
        <v>1779.7160999999999</v>
      </c>
      <c r="M12" s="13">
        <f t="shared" si="3"/>
        <v>1434.5639</v>
      </c>
      <c r="N12" s="13">
        <f t="shared" si="3"/>
        <v>10361.025</v>
      </c>
      <c r="O12" s="26">
        <f t="shared" si="2"/>
        <v>18.66060721712725</v>
      </c>
      <c r="P12" s="13">
        <f>SUM(P17:P62)</f>
        <v>0</v>
      </c>
    </row>
    <row r="13" spans="1:16" s="2" customFormat="1" ht="21" customHeight="1">
      <c r="A13" s="5">
        <v>1</v>
      </c>
      <c r="B13" s="10" t="s">
        <v>241</v>
      </c>
      <c r="C13" s="39"/>
      <c r="D13" s="12"/>
      <c r="E13" s="13">
        <f aca="true" t="shared" si="4" ref="E13:N13">SUM(E14:E39)</f>
        <v>69526.771991</v>
      </c>
      <c r="F13" s="13">
        <f t="shared" si="4"/>
        <v>20361.771990999998</v>
      </c>
      <c r="G13" s="13">
        <f t="shared" si="4"/>
        <v>11377.773091</v>
      </c>
      <c r="H13" s="13">
        <f t="shared" si="4"/>
        <v>8983.9989</v>
      </c>
      <c r="I13" s="13">
        <f t="shared" si="4"/>
        <v>49165</v>
      </c>
      <c r="J13" s="13">
        <f t="shared" si="4"/>
        <v>13575.305</v>
      </c>
      <c r="K13" s="13">
        <f t="shared" si="4"/>
        <v>3214.28</v>
      </c>
      <c r="L13" s="13">
        <f t="shared" si="4"/>
        <v>1779.7160999999999</v>
      </c>
      <c r="M13" s="13">
        <f t="shared" si="4"/>
        <v>1434.5639</v>
      </c>
      <c r="N13" s="13">
        <f t="shared" si="4"/>
        <v>10361.025</v>
      </c>
      <c r="O13" s="26">
        <f t="shared" si="2"/>
        <v>19.525291641264857</v>
      </c>
      <c r="P13" s="13"/>
    </row>
    <row r="14" spans="1:16" s="2" customFormat="1" ht="26.25" customHeight="1">
      <c r="A14" s="7" t="s">
        <v>4</v>
      </c>
      <c r="B14" s="8" t="s">
        <v>240</v>
      </c>
      <c r="C14" s="74" t="s">
        <v>241</v>
      </c>
      <c r="D14" s="12">
        <v>8064869</v>
      </c>
      <c r="E14" s="14">
        <f aca="true" t="shared" si="5" ref="E14:E32">F14+I14</f>
        <v>3000</v>
      </c>
      <c r="F14" s="14">
        <f aca="true" t="shared" si="6" ref="F14:F32">G14+H14</f>
        <v>0</v>
      </c>
      <c r="G14" s="13"/>
      <c r="H14" s="13"/>
      <c r="I14" s="14">
        <v>3000</v>
      </c>
      <c r="J14" s="14">
        <f aca="true" t="shared" si="7" ref="J14:J32">K14+N14</f>
        <v>151.225</v>
      </c>
      <c r="K14" s="14">
        <f aca="true" t="shared" si="8" ref="K14:K32">L14+M14</f>
        <v>0</v>
      </c>
      <c r="L14" s="13"/>
      <c r="M14" s="13"/>
      <c r="N14" s="14">
        <v>151.225</v>
      </c>
      <c r="O14" s="27">
        <f t="shared" si="2"/>
        <v>5.0408333333333335</v>
      </c>
      <c r="P14" s="13"/>
    </row>
    <row r="15" spans="1:16" s="2" customFormat="1" ht="12.75">
      <c r="A15" s="7" t="s">
        <v>4</v>
      </c>
      <c r="B15" s="8" t="s">
        <v>242</v>
      </c>
      <c r="C15" s="75"/>
      <c r="D15" s="12">
        <v>8064126</v>
      </c>
      <c r="E15" s="14">
        <f t="shared" si="5"/>
        <v>5000</v>
      </c>
      <c r="F15" s="14">
        <f t="shared" si="6"/>
        <v>0</v>
      </c>
      <c r="G15" s="13"/>
      <c r="H15" s="13"/>
      <c r="I15" s="14">
        <v>5000</v>
      </c>
      <c r="J15" s="14">
        <f t="shared" si="7"/>
        <v>329.482</v>
      </c>
      <c r="K15" s="14">
        <f t="shared" si="8"/>
        <v>0</v>
      </c>
      <c r="L15" s="13"/>
      <c r="M15" s="13"/>
      <c r="N15" s="14">
        <v>329.482</v>
      </c>
      <c r="O15" s="27">
        <f t="shared" si="2"/>
        <v>6.589640000000001</v>
      </c>
      <c r="P15" s="13"/>
    </row>
    <row r="16" spans="1:16" s="2" customFormat="1" ht="12.75">
      <c r="A16" s="7" t="s">
        <v>4</v>
      </c>
      <c r="B16" s="8" t="s">
        <v>243</v>
      </c>
      <c r="C16" s="75"/>
      <c r="D16" s="12">
        <v>8064855</v>
      </c>
      <c r="E16" s="14">
        <f t="shared" si="5"/>
        <v>6965.41</v>
      </c>
      <c r="F16" s="14">
        <f t="shared" si="6"/>
        <v>0</v>
      </c>
      <c r="G16" s="13"/>
      <c r="H16" s="13"/>
      <c r="I16" s="14">
        <v>6965.41</v>
      </c>
      <c r="J16" s="14">
        <f t="shared" si="7"/>
        <v>341.876</v>
      </c>
      <c r="K16" s="14">
        <f t="shared" si="8"/>
        <v>0</v>
      </c>
      <c r="L16" s="13"/>
      <c r="M16" s="13"/>
      <c r="N16" s="14">
        <v>341.876</v>
      </c>
      <c r="O16" s="27">
        <f t="shared" si="2"/>
        <v>4.908196358864733</v>
      </c>
      <c r="P16" s="13"/>
    </row>
    <row r="17" spans="1:16" ht="12.75">
      <c r="A17" s="7" t="s">
        <v>4</v>
      </c>
      <c r="B17" s="8" t="s">
        <v>25</v>
      </c>
      <c r="C17" s="75"/>
      <c r="D17" s="12" t="s">
        <v>26</v>
      </c>
      <c r="E17" s="14">
        <f t="shared" si="5"/>
        <v>0.1582</v>
      </c>
      <c r="F17" s="14">
        <f t="shared" si="6"/>
        <v>0.1582</v>
      </c>
      <c r="G17" s="14">
        <f>158200/1000000</f>
        <v>0.1582</v>
      </c>
      <c r="H17" s="14">
        <v>0</v>
      </c>
      <c r="I17" s="14"/>
      <c r="J17" s="14">
        <f t="shared" si="7"/>
        <v>0</v>
      </c>
      <c r="K17" s="14">
        <f t="shared" si="8"/>
        <v>0</v>
      </c>
      <c r="L17" s="14"/>
      <c r="M17" s="14"/>
      <c r="N17" s="14"/>
      <c r="O17" s="27">
        <f t="shared" si="2"/>
        <v>0</v>
      </c>
      <c r="P17" s="14"/>
    </row>
    <row r="18" spans="1:16" ht="12.75">
      <c r="A18" s="7" t="s">
        <v>4</v>
      </c>
      <c r="B18" s="15" t="s">
        <v>27</v>
      </c>
      <c r="C18" s="75"/>
      <c r="D18" s="12" t="s">
        <v>28</v>
      </c>
      <c r="E18" s="14">
        <f t="shared" si="5"/>
        <v>370.297</v>
      </c>
      <c r="F18" s="14">
        <f t="shared" si="6"/>
        <v>370.297</v>
      </c>
      <c r="G18" s="14">
        <f>370297000/1000000</f>
        <v>370.297</v>
      </c>
      <c r="H18" s="14">
        <v>0</v>
      </c>
      <c r="I18" s="14"/>
      <c r="J18" s="14">
        <f t="shared" si="7"/>
        <v>0</v>
      </c>
      <c r="K18" s="14">
        <f t="shared" si="8"/>
        <v>0</v>
      </c>
      <c r="L18" s="14"/>
      <c r="M18" s="14"/>
      <c r="N18" s="14"/>
      <c r="O18" s="27">
        <f t="shared" si="2"/>
        <v>0</v>
      </c>
      <c r="P18" s="14"/>
    </row>
    <row r="19" spans="1:16" ht="25.5">
      <c r="A19" s="7" t="s">
        <v>4</v>
      </c>
      <c r="B19" s="15" t="s">
        <v>29</v>
      </c>
      <c r="C19" s="75"/>
      <c r="D19" s="12" t="s">
        <v>30</v>
      </c>
      <c r="E19" s="14">
        <f t="shared" si="5"/>
        <v>263.215</v>
      </c>
      <c r="F19" s="14">
        <f t="shared" si="6"/>
        <v>263.215</v>
      </c>
      <c r="G19" s="14">
        <f>263215000/1000000</f>
        <v>263.215</v>
      </c>
      <c r="H19" s="14">
        <v>0</v>
      </c>
      <c r="I19" s="14"/>
      <c r="J19" s="14">
        <f t="shared" si="7"/>
        <v>0</v>
      </c>
      <c r="K19" s="14">
        <f t="shared" si="8"/>
        <v>0</v>
      </c>
      <c r="L19" s="14"/>
      <c r="M19" s="14"/>
      <c r="N19" s="14"/>
      <c r="O19" s="27">
        <f t="shared" si="2"/>
        <v>0</v>
      </c>
      <c r="P19" s="14"/>
    </row>
    <row r="20" spans="1:16" ht="25.5">
      <c r="A20" s="7" t="s">
        <v>4</v>
      </c>
      <c r="B20" s="15" t="s">
        <v>31</v>
      </c>
      <c r="C20" s="75"/>
      <c r="D20" s="12" t="s">
        <v>32</v>
      </c>
      <c r="E20" s="14">
        <f t="shared" si="5"/>
        <v>338.919</v>
      </c>
      <c r="F20" s="14">
        <f t="shared" si="6"/>
        <v>338.919</v>
      </c>
      <c r="G20" s="14">
        <f>338919000/1000000</f>
        <v>338.919</v>
      </c>
      <c r="H20" s="14">
        <v>0</v>
      </c>
      <c r="I20" s="14"/>
      <c r="J20" s="14">
        <f t="shared" si="7"/>
        <v>0</v>
      </c>
      <c r="K20" s="14">
        <f t="shared" si="8"/>
        <v>0</v>
      </c>
      <c r="L20" s="14"/>
      <c r="M20" s="14"/>
      <c r="N20" s="14"/>
      <c r="O20" s="27">
        <f t="shared" si="2"/>
        <v>0</v>
      </c>
      <c r="P20" s="14"/>
    </row>
    <row r="21" spans="1:16" ht="12.75">
      <c r="A21" s="7" t="s">
        <v>4</v>
      </c>
      <c r="B21" s="15" t="s">
        <v>33</v>
      </c>
      <c r="C21" s="75"/>
      <c r="D21" s="12" t="s">
        <v>34</v>
      </c>
      <c r="E21" s="14">
        <f t="shared" si="5"/>
        <v>191.153</v>
      </c>
      <c r="F21" s="14">
        <f t="shared" si="6"/>
        <v>191.153</v>
      </c>
      <c r="G21" s="14">
        <f>191153000/1000000</f>
        <v>191.153</v>
      </c>
      <c r="H21" s="14">
        <v>0</v>
      </c>
      <c r="I21" s="14"/>
      <c r="J21" s="14">
        <f t="shared" si="7"/>
        <v>0</v>
      </c>
      <c r="K21" s="14">
        <f t="shared" si="8"/>
        <v>0</v>
      </c>
      <c r="L21" s="14"/>
      <c r="M21" s="14"/>
      <c r="N21" s="14"/>
      <c r="O21" s="27">
        <f t="shared" si="2"/>
        <v>0</v>
      </c>
      <c r="P21" s="14"/>
    </row>
    <row r="22" spans="1:16" ht="39">
      <c r="A22" s="7" t="s">
        <v>4</v>
      </c>
      <c r="B22" s="17" t="s">
        <v>35</v>
      </c>
      <c r="C22" s="75"/>
      <c r="D22" s="12" t="s">
        <v>36</v>
      </c>
      <c r="E22" s="14">
        <f t="shared" si="5"/>
        <v>3.054</v>
      </c>
      <c r="F22" s="14">
        <f t="shared" si="6"/>
        <v>3.054</v>
      </c>
      <c r="G22" s="14">
        <f>3054000/1000000</f>
        <v>3.054</v>
      </c>
      <c r="H22" s="14">
        <v>0</v>
      </c>
      <c r="I22" s="14"/>
      <c r="J22" s="14">
        <f t="shared" si="7"/>
        <v>0</v>
      </c>
      <c r="K22" s="14">
        <f t="shared" si="8"/>
        <v>0</v>
      </c>
      <c r="L22" s="14"/>
      <c r="M22" s="14"/>
      <c r="N22" s="14"/>
      <c r="O22" s="27">
        <f t="shared" si="2"/>
        <v>0</v>
      </c>
      <c r="P22" s="14"/>
    </row>
    <row r="23" spans="1:16" ht="39">
      <c r="A23" s="7" t="s">
        <v>4</v>
      </c>
      <c r="B23" s="17" t="s">
        <v>37</v>
      </c>
      <c r="C23" s="75"/>
      <c r="D23" s="12" t="s">
        <v>38</v>
      </c>
      <c r="E23" s="14">
        <f t="shared" si="5"/>
        <v>3.597</v>
      </c>
      <c r="F23" s="14">
        <f t="shared" si="6"/>
        <v>3.597</v>
      </c>
      <c r="G23" s="14">
        <f>3597000/1000000</f>
        <v>3.597</v>
      </c>
      <c r="H23" s="14">
        <v>0</v>
      </c>
      <c r="I23" s="14"/>
      <c r="J23" s="14">
        <f t="shared" si="7"/>
        <v>0</v>
      </c>
      <c r="K23" s="14">
        <f t="shared" si="8"/>
        <v>0</v>
      </c>
      <c r="L23" s="14"/>
      <c r="M23" s="14"/>
      <c r="N23" s="14"/>
      <c r="O23" s="27">
        <f t="shared" si="2"/>
        <v>0</v>
      </c>
      <c r="P23" s="14"/>
    </row>
    <row r="24" spans="1:16" ht="12.75">
      <c r="A24" s="7" t="s">
        <v>4</v>
      </c>
      <c r="B24" s="15" t="s">
        <v>60</v>
      </c>
      <c r="C24" s="75"/>
      <c r="D24" s="3" t="s">
        <v>68</v>
      </c>
      <c r="E24" s="14">
        <f t="shared" si="5"/>
        <v>2456.919</v>
      </c>
      <c r="F24" s="14">
        <f t="shared" si="6"/>
        <v>2456.919</v>
      </c>
      <c r="G24" s="14">
        <f>1784833000/1000000</f>
        <v>1784.833</v>
      </c>
      <c r="H24" s="14">
        <f>672086000/1000000</f>
        <v>672.086</v>
      </c>
      <c r="I24" s="14"/>
      <c r="J24" s="14">
        <f t="shared" si="7"/>
        <v>0</v>
      </c>
      <c r="K24" s="14">
        <f t="shared" si="8"/>
        <v>0</v>
      </c>
      <c r="L24" s="14"/>
      <c r="M24" s="14"/>
      <c r="N24" s="14"/>
      <c r="O24" s="27">
        <f t="shared" si="2"/>
        <v>0</v>
      </c>
      <c r="P24" s="14"/>
    </row>
    <row r="25" spans="1:16" ht="12.75">
      <c r="A25" s="7" t="s">
        <v>4</v>
      </c>
      <c r="B25" s="15" t="s">
        <v>61</v>
      </c>
      <c r="C25" s="75"/>
      <c r="D25" s="3" t="s">
        <v>69</v>
      </c>
      <c r="E25" s="14">
        <f t="shared" si="5"/>
        <v>58.792</v>
      </c>
      <c r="F25" s="14">
        <f t="shared" si="6"/>
        <v>58.792</v>
      </c>
      <c r="G25" s="14">
        <f>58792000/1000000</f>
        <v>58.792</v>
      </c>
      <c r="H25" s="14">
        <v>0</v>
      </c>
      <c r="I25" s="14"/>
      <c r="J25" s="14">
        <f t="shared" si="7"/>
        <v>0</v>
      </c>
      <c r="K25" s="14">
        <f t="shared" si="8"/>
        <v>0</v>
      </c>
      <c r="L25" s="14"/>
      <c r="M25" s="14"/>
      <c r="N25" s="14"/>
      <c r="O25" s="27">
        <f t="shared" si="2"/>
        <v>0</v>
      </c>
      <c r="P25" s="14"/>
    </row>
    <row r="26" spans="1:16" ht="12.75">
      <c r="A26" s="7" t="s">
        <v>4</v>
      </c>
      <c r="B26" s="15" t="s">
        <v>62</v>
      </c>
      <c r="C26" s="75"/>
      <c r="D26" s="3" t="s">
        <v>70</v>
      </c>
      <c r="E26" s="14">
        <f t="shared" si="5"/>
        <v>118.648</v>
      </c>
      <c r="F26" s="14">
        <f t="shared" si="6"/>
        <v>118.648</v>
      </c>
      <c r="G26" s="14">
        <f>101079000/1000000</f>
        <v>101.079</v>
      </c>
      <c r="H26" s="14">
        <f>17569000/1000000</f>
        <v>17.569</v>
      </c>
      <c r="I26" s="14"/>
      <c r="J26" s="14">
        <f t="shared" si="7"/>
        <v>57.501000000000005</v>
      </c>
      <c r="K26" s="14">
        <f t="shared" si="8"/>
        <v>17.569</v>
      </c>
      <c r="L26" s="14"/>
      <c r="M26" s="14">
        <v>17.569</v>
      </c>
      <c r="N26" s="14">
        <v>39.932</v>
      </c>
      <c r="O26" s="27">
        <f t="shared" si="2"/>
        <v>48.463522351830626</v>
      </c>
      <c r="P26" s="14"/>
    </row>
    <row r="27" spans="1:16" ht="12.75">
      <c r="A27" s="7" t="s">
        <v>4</v>
      </c>
      <c r="B27" s="15" t="s">
        <v>63</v>
      </c>
      <c r="C27" s="75"/>
      <c r="D27" s="3" t="s">
        <v>71</v>
      </c>
      <c r="E27" s="14">
        <f t="shared" si="5"/>
        <v>1868.478291</v>
      </c>
      <c r="F27" s="14">
        <f t="shared" si="6"/>
        <v>1868.478291</v>
      </c>
      <c r="G27" s="14">
        <f>1329978291/1000000</f>
        <v>1329.978291</v>
      </c>
      <c r="H27" s="14">
        <f>538500000/1000000</f>
        <v>538.5</v>
      </c>
      <c r="I27" s="14"/>
      <c r="J27" s="14">
        <f t="shared" si="7"/>
        <v>1762.317</v>
      </c>
      <c r="K27" s="14">
        <f t="shared" si="8"/>
        <v>1762.317</v>
      </c>
      <c r="L27" s="14">
        <v>1223.817</v>
      </c>
      <c r="M27" s="14">
        <v>538.5</v>
      </c>
      <c r="N27" s="14"/>
      <c r="O27" s="27">
        <f t="shared" si="2"/>
        <v>94.31830214397712</v>
      </c>
      <c r="P27" s="14"/>
    </row>
    <row r="28" spans="1:16" ht="39">
      <c r="A28" s="7" t="s">
        <v>4</v>
      </c>
      <c r="B28" s="15" t="s">
        <v>64</v>
      </c>
      <c r="C28" s="75"/>
      <c r="D28" s="3" t="s">
        <v>72</v>
      </c>
      <c r="E28" s="14">
        <f t="shared" si="5"/>
        <v>50.552</v>
      </c>
      <c r="F28" s="14">
        <f t="shared" si="6"/>
        <v>50.552</v>
      </c>
      <c r="G28" s="14">
        <f>50552000/1000000</f>
        <v>50.552</v>
      </c>
      <c r="H28" s="14">
        <v>0</v>
      </c>
      <c r="I28" s="14"/>
      <c r="J28" s="14">
        <f t="shared" si="7"/>
        <v>50.552</v>
      </c>
      <c r="K28" s="14">
        <f t="shared" si="8"/>
        <v>50.552</v>
      </c>
      <c r="L28" s="14">
        <v>50.552</v>
      </c>
      <c r="M28" s="14"/>
      <c r="N28" s="14"/>
      <c r="O28" s="27">
        <f t="shared" si="2"/>
        <v>100</v>
      </c>
      <c r="P28" s="14"/>
    </row>
    <row r="29" spans="1:16" ht="12.75">
      <c r="A29" s="7" t="s">
        <v>4</v>
      </c>
      <c r="B29" s="15" t="s">
        <v>65</v>
      </c>
      <c r="C29" s="75"/>
      <c r="D29" s="3" t="s">
        <v>73</v>
      </c>
      <c r="E29" s="14">
        <f t="shared" si="5"/>
        <v>4786.948</v>
      </c>
      <c r="F29" s="14">
        <f t="shared" si="6"/>
        <v>136.948</v>
      </c>
      <c r="G29" s="14">
        <v>0</v>
      </c>
      <c r="H29" s="14">
        <f>136948000/1000000</f>
        <v>136.948</v>
      </c>
      <c r="I29" s="14">
        <v>4650</v>
      </c>
      <c r="J29" s="14">
        <f t="shared" si="7"/>
        <v>142.89600000000002</v>
      </c>
      <c r="K29" s="14">
        <f t="shared" si="8"/>
        <v>136.948</v>
      </c>
      <c r="L29" s="14">
        <v>0</v>
      </c>
      <c r="M29" s="14">
        <v>136.948</v>
      </c>
      <c r="N29" s="14">
        <v>5.948</v>
      </c>
      <c r="O29" s="27">
        <f t="shared" si="2"/>
        <v>2.9851170307260495</v>
      </c>
      <c r="P29" s="14"/>
    </row>
    <row r="30" spans="1:16" ht="12.75">
      <c r="A30" s="7" t="s">
        <v>4</v>
      </c>
      <c r="B30" s="15" t="s">
        <v>66</v>
      </c>
      <c r="C30" s="75"/>
      <c r="D30" s="3" t="s">
        <v>74</v>
      </c>
      <c r="E30" s="14">
        <f t="shared" si="5"/>
        <v>1245.238</v>
      </c>
      <c r="F30" s="14">
        <f t="shared" si="6"/>
        <v>944.03</v>
      </c>
      <c r="G30" s="14">
        <f>495766100/1000000</f>
        <v>495.7661</v>
      </c>
      <c r="H30" s="14">
        <f>448263900/1000000</f>
        <v>448.2639</v>
      </c>
      <c r="I30" s="14">
        <v>301.2080000000001</v>
      </c>
      <c r="J30" s="14">
        <f t="shared" si="7"/>
        <v>1001.992</v>
      </c>
      <c r="K30" s="14">
        <f t="shared" si="8"/>
        <v>984.03</v>
      </c>
      <c r="L30" s="14">
        <v>495.7661</v>
      </c>
      <c r="M30" s="14">
        <v>488.2639</v>
      </c>
      <c r="N30" s="14">
        <v>17.962</v>
      </c>
      <c r="O30" s="27">
        <f t="shared" si="2"/>
        <v>80.46590290370193</v>
      </c>
      <c r="P30" s="14"/>
    </row>
    <row r="31" spans="1:16" ht="25.5">
      <c r="A31" s="7" t="s">
        <v>4</v>
      </c>
      <c r="B31" s="15" t="s">
        <v>313</v>
      </c>
      <c r="C31" s="75"/>
      <c r="D31" s="3" t="s">
        <v>75</v>
      </c>
      <c r="E31" s="14">
        <f t="shared" si="5"/>
        <v>80.757</v>
      </c>
      <c r="F31" s="14">
        <f t="shared" si="6"/>
        <v>80.757</v>
      </c>
      <c r="G31" s="14">
        <f>27171000/1000000</f>
        <v>27.171</v>
      </c>
      <c r="H31" s="14">
        <f>53586000/1000000</f>
        <v>53.586</v>
      </c>
      <c r="I31" s="14"/>
      <c r="J31" s="14">
        <f t="shared" si="7"/>
        <v>53.586</v>
      </c>
      <c r="K31" s="14">
        <f t="shared" si="8"/>
        <v>53.586</v>
      </c>
      <c r="L31" s="14"/>
      <c r="M31" s="14">
        <v>53.586</v>
      </c>
      <c r="N31" s="14"/>
      <c r="O31" s="27">
        <f t="shared" si="2"/>
        <v>66.35461941379694</v>
      </c>
      <c r="P31" s="14"/>
    </row>
    <row r="32" spans="1:16" ht="12.75">
      <c r="A32" s="7" t="s">
        <v>4</v>
      </c>
      <c r="B32" s="15" t="s">
        <v>86</v>
      </c>
      <c r="C32" s="75"/>
      <c r="D32" s="3" t="s">
        <v>76</v>
      </c>
      <c r="E32" s="14">
        <f t="shared" si="5"/>
        <v>8118.215</v>
      </c>
      <c r="F32" s="14">
        <f t="shared" si="6"/>
        <v>3540.2149999999997</v>
      </c>
      <c r="G32" s="14">
        <f>1260620000/1000000</f>
        <v>1260.62</v>
      </c>
      <c r="H32" s="14">
        <f>2279595000/1000000</f>
        <v>2279.595</v>
      </c>
      <c r="I32" s="14">
        <v>4578</v>
      </c>
      <c r="J32" s="14">
        <f t="shared" si="7"/>
        <v>82.99</v>
      </c>
      <c r="K32" s="14">
        <f t="shared" si="8"/>
        <v>0</v>
      </c>
      <c r="L32" s="14"/>
      <c r="M32" s="14"/>
      <c r="N32" s="14">
        <v>82.99</v>
      </c>
      <c r="O32" s="27">
        <f t="shared" si="2"/>
        <v>1.0222690579148248</v>
      </c>
      <c r="P32" s="14"/>
    </row>
    <row r="33" spans="1:16" ht="25.5">
      <c r="A33" s="7" t="s">
        <v>4</v>
      </c>
      <c r="B33" s="15" t="s">
        <v>91</v>
      </c>
      <c r="C33" s="75"/>
      <c r="D33" s="3" t="s">
        <v>81</v>
      </c>
      <c r="E33" s="14">
        <f aca="true" t="shared" si="9" ref="E33:E39">F33+I33</f>
        <v>3230.917</v>
      </c>
      <c r="F33" s="14">
        <f aca="true" t="shared" si="10" ref="F33:F39">G33+H33</f>
        <v>1230.917</v>
      </c>
      <c r="G33" s="14">
        <f>291183000/1000000</f>
        <v>291.183</v>
      </c>
      <c r="H33" s="14">
        <f>939734000/1000000</f>
        <v>939.734</v>
      </c>
      <c r="I33" s="14">
        <v>2000</v>
      </c>
      <c r="J33" s="14">
        <f aca="true" t="shared" si="11" ref="J33:J39">K33+N33</f>
        <v>9.581</v>
      </c>
      <c r="K33" s="14">
        <f aca="true" t="shared" si="12" ref="K33:K39">L33+M33</f>
        <v>9.581</v>
      </c>
      <c r="L33" s="14">
        <v>9.581</v>
      </c>
      <c r="M33" s="14"/>
      <c r="N33" s="14"/>
      <c r="O33" s="27">
        <f t="shared" si="2"/>
        <v>0.29654119867517487</v>
      </c>
      <c r="P33" s="14"/>
    </row>
    <row r="34" spans="1:16" ht="12.75">
      <c r="A34" s="7" t="s">
        <v>4</v>
      </c>
      <c r="B34" s="15" t="s">
        <v>92</v>
      </c>
      <c r="C34" s="75"/>
      <c r="D34" s="3" t="s">
        <v>82</v>
      </c>
      <c r="E34" s="14">
        <f t="shared" si="9"/>
        <v>2898.639</v>
      </c>
      <c r="F34" s="14">
        <f t="shared" si="10"/>
        <v>898.639</v>
      </c>
      <c r="G34" s="14">
        <v>0</v>
      </c>
      <c r="H34" s="14">
        <f>898639000/1000000</f>
        <v>898.639</v>
      </c>
      <c r="I34" s="14">
        <v>2000</v>
      </c>
      <c r="J34" s="14">
        <f t="shared" si="11"/>
        <v>1469.879</v>
      </c>
      <c r="K34" s="14">
        <f t="shared" si="12"/>
        <v>199.697</v>
      </c>
      <c r="L34" s="14"/>
      <c r="M34" s="14">
        <v>199.697</v>
      </c>
      <c r="N34" s="14">
        <v>1270.182</v>
      </c>
      <c r="O34" s="27">
        <f t="shared" si="2"/>
        <v>50.709281148842614</v>
      </c>
      <c r="P34" s="14"/>
    </row>
    <row r="35" spans="1:16" ht="12.75">
      <c r="A35" s="7" t="s">
        <v>4</v>
      </c>
      <c r="B35" s="15" t="s">
        <v>93</v>
      </c>
      <c r="C35" s="75"/>
      <c r="D35" s="3" t="s">
        <v>83</v>
      </c>
      <c r="E35" s="14">
        <f t="shared" si="9"/>
        <v>5193.285</v>
      </c>
      <c r="F35" s="14">
        <f t="shared" si="10"/>
        <v>2193.285</v>
      </c>
      <c r="G35" s="14">
        <f>825602000/1000000</f>
        <v>825.602</v>
      </c>
      <c r="H35" s="14">
        <f>1367683000/1000000</f>
        <v>1367.683</v>
      </c>
      <c r="I35" s="14">
        <v>3000</v>
      </c>
      <c r="J35" s="14">
        <f t="shared" si="11"/>
        <v>3.737</v>
      </c>
      <c r="K35" s="14">
        <f t="shared" si="12"/>
        <v>0</v>
      </c>
      <c r="L35" s="14"/>
      <c r="M35" s="14"/>
      <c r="N35" s="14">
        <v>3.737</v>
      </c>
      <c r="O35" s="27">
        <f t="shared" si="2"/>
        <v>0.07195830769926935</v>
      </c>
      <c r="P35" s="14"/>
    </row>
    <row r="36" spans="1:16" ht="12.75">
      <c r="A36" s="7" t="s">
        <v>4</v>
      </c>
      <c r="B36" s="15" t="s">
        <v>94</v>
      </c>
      <c r="C36" s="75"/>
      <c r="D36" s="3" t="s">
        <v>84</v>
      </c>
      <c r="E36" s="14">
        <f t="shared" si="9"/>
        <v>8459.195</v>
      </c>
      <c r="F36" s="14">
        <f t="shared" si="10"/>
        <v>1412.195</v>
      </c>
      <c r="G36" s="14">
        <v>0</v>
      </c>
      <c r="H36" s="14">
        <f>1412195000/1000000</f>
        <v>1412.195</v>
      </c>
      <c r="I36" s="14">
        <v>7047</v>
      </c>
      <c r="J36" s="14">
        <f t="shared" si="11"/>
        <v>1011.728</v>
      </c>
      <c r="K36" s="14">
        <f t="shared" si="12"/>
        <v>0</v>
      </c>
      <c r="L36" s="14"/>
      <c r="M36" s="14"/>
      <c r="N36" s="14">
        <v>1011.728</v>
      </c>
      <c r="O36" s="27">
        <f t="shared" si="2"/>
        <v>11.960097858011313</v>
      </c>
      <c r="P36" s="14"/>
    </row>
    <row r="37" spans="1:16" ht="12.75">
      <c r="A37" s="7" t="s">
        <v>4</v>
      </c>
      <c r="B37" s="15" t="s">
        <v>95</v>
      </c>
      <c r="C37" s="75"/>
      <c r="D37" s="3" t="s">
        <v>85</v>
      </c>
      <c r="E37" s="14">
        <f t="shared" si="9"/>
        <v>14413.857</v>
      </c>
      <c r="F37" s="14">
        <f t="shared" si="10"/>
        <v>3790.475</v>
      </c>
      <c r="G37" s="14">
        <f>3790475000/1000000</f>
        <v>3790.475</v>
      </c>
      <c r="H37" s="14">
        <v>0</v>
      </c>
      <c r="I37" s="14">
        <v>10623.382</v>
      </c>
      <c r="J37" s="14">
        <f t="shared" si="11"/>
        <v>7105.963</v>
      </c>
      <c r="K37" s="14">
        <f t="shared" si="12"/>
        <v>0</v>
      </c>
      <c r="L37" s="14"/>
      <c r="M37" s="14"/>
      <c r="N37" s="14">
        <v>7105.963</v>
      </c>
      <c r="O37" s="27">
        <f t="shared" si="2"/>
        <v>49.29952475593451</v>
      </c>
      <c r="P37" s="14"/>
    </row>
    <row r="38" spans="1:16" ht="12.75">
      <c r="A38" s="7" t="s">
        <v>4</v>
      </c>
      <c r="B38" s="15" t="s">
        <v>87</v>
      </c>
      <c r="C38" s="75"/>
      <c r="D38" s="3" t="s">
        <v>77</v>
      </c>
      <c r="E38" s="14">
        <f t="shared" si="9"/>
        <v>42.962</v>
      </c>
      <c r="F38" s="14">
        <f t="shared" si="10"/>
        <v>42.962</v>
      </c>
      <c r="G38" s="14">
        <f>42962000/1000000</f>
        <v>42.962</v>
      </c>
      <c r="H38" s="14">
        <v>0</v>
      </c>
      <c r="I38" s="14"/>
      <c r="J38" s="14">
        <f t="shared" si="11"/>
        <v>0</v>
      </c>
      <c r="K38" s="14">
        <f t="shared" si="12"/>
        <v>0</v>
      </c>
      <c r="L38" s="14"/>
      <c r="M38" s="14"/>
      <c r="N38" s="14"/>
      <c r="O38" s="27">
        <f>J38/E38*100</f>
        <v>0</v>
      </c>
      <c r="P38" s="14"/>
    </row>
    <row r="39" spans="1:16" ht="12.75">
      <c r="A39" s="7" t="s">
        <v>4</v>
      </c>
      <c r="B39" s="15" t="s">
        <v>58</v>
      </c>
      <c r="C39" s="76"/>
      <c r="D39" s="3">
        <v>7999748</v>
      </c>
      <c r="E39" s="14">
        <f t="shared" si="9"/>
        <v>367.5665</v>
      </c>
      <c r="F39" s="14">
        <f t="shared" si="10"/>
        <v>367.5665</v>
      </c>
      <c r="G39" s="14">
        <f>148366500/1000000</f>
        <v>148.3665</v>
      </c>
      <c r="H39" s="14">
        <f>219200000/1000000</f>
        <v>219.2</v>
      </c>
      <c r="I39" s="14"/>
      <c r="J39" s="14">
        <f t="shared" si="11"/>
        <v>0</v>
      </c>
      <c r="K39" s="14">
        <f t="shared" si="12"/>
        <v>0</v>
      </c>
      <c r="L39" s="14"/>
      <c r="M39" s="14"/>
      <c r="N39" s="14"/>
      <c r="O39" s="27">
        <f t="shared" si="2"/>
        <v>0</v>
      </c>
      <c r="P39" s="14"/>
    </row>
    <row r="40" spans="1:16" s="2" customFormat="1" ht="21.75" customHeight="1">
      <c r="A40" s="5">
        <v>2</v>
      </c>
      <c r="B40" s="19" t="s">
        <v>309</v>
      </c>
      <c r="C40" s="40"/>
      <c r="D40" s="25"/>
      <c r="E40" s="13">
        <f>E41</f>
        <v>3100.3475</v>
      </c>
      <c r="F40" s="13">
        <f aca="true" t="shared" si="13" ref="F40:N40">F41</f>
        <v>1123.3475</v>
      </c>
      <c r="G40" s="13">
        <f t="shared" si="13"/>
        <v>1123.3475</v>
      </c>
      <c r="H40" s="13">
        <f t="shared" si="13"/>
        <v>0</v>
      </c>
      <c r="I40" s="13">
        <f t="shared" si="13"/>
        <v>1977</v>
      </c>
      <c r="J40" s="13">
        <f t="shared" si="13"/>
        <v>0</v>
      </c>
      <c r="K40" s="13">
        <f t="shared" si="13"/>
        <v>0</v>
      </c>
      <c r="L40" s="13">
        <f t="shared" si="13"/>
        <v>0</v>
      </c>
      <c r="M40" s="13">
        <f t="shared" si="13"/>
        <v>0</v>
      </c>
      <c r="N40" s="13">
        <f t="shared" si="13"/>
        <v>0</v>
      </c>
      <c r="O40" s="26">
        <f t="shared" si="2"/>
        <v>0</v>
      </c>
      <c r="P40" s="13"/>
    </row>
    <row r="41" spans="1:16" ht="30.75" customHeight="1">
      <c r="A41" s="7" t="s">
        <v>4</v>
      </c>
      <c r="B41" s="15" t="s">
        <v>39</v>
      </c>
      <c r="C41" s="16" t="s">
        <v>309</v>
      </c>
      <c r="D41" s="12" t="s">
        <v>40</v>
      </c>
      <c r="E41" s="14">
        <f>F41+I41</f>
        <v>3100.3475</v>
      </c>
      <c r="F41" s="14">
        <f>G41+H41</f>
        <v>1123.3475</v>
      </c>
      <c r="G41" s="14">
        <f>1123347500/1000000</f>
        <v>1123.3475</v>
      </c>
      <c r="H41" s="14">
        <v>0</v>
      </c>
      <c r="I41" s="14">
        <v>1977</v>
      </c>
      <c r="J41" s="14">
        <f>K41+N41</f>
        <v>0</v>
      </c>
      <c r="K41" s="14">
        <f>L41+M41</f>
        <v>0</v>
      </c>
      <c r="L41" s="14"/>
      <c r="M41" s="14"/>
      <c r="N41" s="14"/>
      <c r="O41" s="27">
        <f t="shared" si="2"/>
        <v>0</v>
      </c>
      <c r="P41" s="14"/>
    </row>
    <row r="42" spans="1:16" s="2" customFormat="1" ht="26.25" customHeight="1">
      <c r="A42" s="5">
        <v>3</v>
      </c>
      <c r="B42" s="19" t="s">
        <v>310</v>
      </c>
      <c r="C42" s="20"/>
      <c r="D42" s="42"/>
      <c r="E42" s="13">
        <f>E43</f>
        <v>1.639</v>
      </c>
      <c r="F42" s="13">
        <f aca="true" t="shared" si="14" ref="F42:N42">F43</f>
        <v>1.639</v>
      </c>
      <c r="G42" s="13">
        <f t="shared" si="14"/>
        <v>1.639</v>
      </c>
      <c r="H42" s="13">
        <f t="shared" si="14"/>
        <v>0</v>
      </c>
      <c r="I42" s="13">
        <f t="shared" si="14"/>
        <v>0</v>
      </c>
      <c r="J42" s="13">
        <f t="shared" si="14"/>
        <v>0</v>
      </c>
      <c r="K42" s="13">
        <f t="shared" si="14"/>
        <v>0</v>
      </c>
      <c r="L42" s="13">
        <f t="shared" si="14"/>
        <v>0</v>
      </c>
      <c r="M42" s="13">
        <f t="shared" si="14"/>
        <v>0</v>
      </c>
      <c r="N42" s="13">
        <f t="shared" si="14"/>
        <v>0</v>
      </c>
      <c r="O42" s="26">
        <f t="shared" si="2"/>
        <v>0</v>
      </c>
      <c r="P42" s="13"/>
    </row>
    <row r="43" spans="1:16" ht="12.75">
      <c r="A43" s="7" t="s">
        <v>4</v>
      </c>
      <c r="B43" s="15" t="s">
        <v>41</v>
      </c>
      <c r="C43" s="60" t="s">
        <v>310</v>
      </c>
      <c r="D43" s="12" t="s">
        <v>42</v>
      </c>
      <c r="E43" s="14">
        <f>F43+I43</f>
        <v>1.639</v>
      </c>
      <c r="F43" s="14">
        <f>G43+H43</f>
        <v>1.639</v>
      </c>
      <c r="G43" s="14">
        <f>1639000/1000000</f>
        <v>1.639</v>
      </c>
      <c r="H43" s="14">
        <v>0</v>
      </c>
      <c r="I43" s="14"/>
      <c r="J43" s="14">
        <f>K43+N43</f>
        <v>0</v>
      </c>
      <c r="K43" s="14">
        <f>L43+M43</f>
        <v>0</v>
      </c>
      <c r="L43" s="14"/>
      <c r="M43" s="14"/>
      <c r="N43" s="14"/>
      <c r="O43" s="27">
        <f t="shared" si="2"/>
        <v>0</v>
      </c>
      <c r="P43" s="14"/>
    </row>
    <row r="44" spans="1:16" s="2" customFormat="1" ht="12.75">
      <c r="A44" s="5">
        <v>4</v>
      </c>
      <c r="B44" s="19" t="s">
        <v>288</v>
      </c>
      <c r="C44" s="61"/>
      <c r="D44" s="42"/>
      <c r="E44" s="13">
        <f>SUM(E45:E46)</f>
        <v>1.923</v>
      </c>
      <c r="F44" s="13">
        <f aca="true" t="shared" si="15" ref="F44:N44">SUM(F45:F46)</f>
        <v>1.923</v>
      </c>
      <c r="G44" s="13">
        <f t="shared" si="15"/>
        <v>1.923</v>
      </c>
      <c r="H44" s="13">
        <f t="shared" si="15"/>
        <v>0</v>
      </c>
      <c r="I44" s="13">
        <f t="shared" si="15"/>
        <v>0</v>
      </c>
      <c r="J44" s="13">
        <f t="shared" si="15"/>
        <v>0</v>
      </c>
      <c r="K44" s="13">
        <f t="shared" si="15"/>
        <v>0</v>
      </c>
      <c r="L44" s="13">
        <f t="shared" si="15"/>
        <v>0</v>
      </c>
      <c r="M44" s="13">
        <f t="shared" si="15"/>
        <v>0</v>
      </c>
      <c r="N44" s="13">
        <f t="shared" si="15"/>
        <v>0</v>
      </c>
      <c r="O44" s="26">
        <f t="shared" si="2"/>
        <v>0</v>
      </c>
      <c r="P44" s="13"/>
    </row>
    <row r="45" spans="1:16" ht="25.5">
      <c r="A45" s="7" t="s">
        <v>4</v>
      </c>
      <c r="B45" s="15" t="s">
        <v>43</v>
      </c>
      <c r="C45" s="71" t="s">
        <v>288</v>
      </c>
      <c r="D45" s="12" t="s">
        <v>44</v>
      </c>
      <c r="E45" s="14">
        <f>F45+I45</f>
        <v>1.381</v>
      </c>
      <c r="F45" s="14">
        <f>G45+H45</f>
        <v>1.381</v>
      </c>
      <c r="G45" s="14">
        <f>1381000/1000000</f>
        <v>1.381</v>
      </c>
      <c r="H45" s="14">
        <v>0</v>
      </c>
      <c r="I45" s="14"/>
      <c r="J45" s="14">
        <f>K45+N45</f>
        <v>0</v>
      </c>
      <c r="K45" s="14">
        <f>L45+M45</f>
        <v>0</v>
      </c>
      <c r="L45" s="14"/>
      <c r="M45" s="14"/>
      <c r="N45" s="14"/>
      <c r="O45" s="27">
        <f t="shared" si="2"/>
        <v>0</v>
      </c>
      <c r="P45" s="14"/>
    </row>
    <row r="46" spans="1:16" ht="12.75">
      <c r="A46" s="7"/>
      <c r="B46" s="15" t="s">
        <v>45</v>
      </c>
      <c r="C46" s="71"/>
      <c r="D46" s="12" t="s">
        <v>46</v>
      </c>
      <c r="E46" s="14">
        <f>F46+I46</f>
        <v>0.542</v>
      </c>
      <c r="F46" s="14">
        <f>G46+H46</f>
        <v>0.542</v>
      </c>
      <c r="G46" s="14">
        <f>542000/1000000</f>
        <v>0.542</v>
      </c>
      <c r="H46" s="14">
        <v>0</v>
      </c>
      <c r="I46" s="14"/>
      <c r="J46" s="14">
        <f>K46+N46</f>
        <v>0</v>
      </c>
      <c r="K46" s="14">
        <f>L46+M46</f>
        <v>0</v>
      </c>
      <c r="L46" s="14"/>
      <c r="M46" s="14"/>
      <c r="N46" s="14"/>
      <c r="O46" s="27">
        <f>J46/E46*100</f>
        <v>0</v>
      </c>
      <c r="P46" s="14"/>
    </row>
    <row r="47" spans="1:16" s="2" customFormat="1" ht="23.25" customHeight="1">
      <c r="A47" s="5">
        <v>5</v>
      </c>
      <c r="B47" s="19" t="s">
        <v>291</v>
      </c>
      <c r="C47" s="20"/>
      <c r="D47" s="42"/>
      <c r="E47" s="13">
        <f>E48</f>
        <v>0.023</v>
      </c>
      <c r="F47" s="13">
        <f aca="true" t="shared" si="16" ref="F47:N47">F48</f>
        <v>0.023</v>
      </c>
      <c r="G47" s="13">
        <f t="shared" si="16"/>
        <v>0.023</v>
      </c>
      <c r="H47" s="13">
        <f t="shared" si="16"/>
        <v>0</v>
      </c>
      <c r="I47" s="13">
        <f t="shared" si="16"/>
        <v>0</v>
      </c>
      <c r="J47" s="13">
        <f t="shared" si="16"/>
        <v>0</v>
      </c>
      <c r="K47" s="13">
        <f t="shared" si="16"/>
        <v>0</v>
      </c>
      <c r="L47" s="13">
        <f t="shared" si="16"/>
        <v>0</v>
      </c>
      <c r="M47" s="13">
        <f t="shared" si="16"/>
        <v>0</v>
      </c>
      <c r="N47" s="13">
        <f t="shared" si="16"/>
        <v>0</v>
      </c>
      <c r="O47" s="26">
        <f t="shared" si="2"/>
        <v>0</v>
      </c>
      <c r="P47" s="13"/>
    </row>
    <row r="48" spans="1:16" ht="25.5">
      <c r="A48" s="7" t="s">
        <v>4</v>
      </c>
      <c r="B48" s="15" t="s">
        <v>49</v>
      </c>
      <c r="C48" s="16" t="s">
        <v>291</v>
      </c>
      <c r="D48" s="12" t="s">
        <v>50</v>
      </c>
      <c r="E48" s="14">
        <f>F48+I48</f>
        <v>0.023</v>
      </c>
      <c r="F48" s="14">
        <f>G48+H48</f>
        <v>0.023</v>
      </c>
      <c r="G48" s="14">
        <f>23000/1000000</f>
        <v>0.023</v>
      </c>
      <c r="H48" s="14">
        <v>0</v>
      </c>
      <c r="I48" s="14"/>
      <c r="J48" s="14">
        <f>K48+N48</f>
        <v>0</v>
      </c>
      <c r="K48" s="14">
        <f>L48+M48</f>
        <v>0</v>
      </c>
      <c r="L48" s="14"/>
      <c r="M48" s="14"/>
      <c r="N48" s="14"/>
      <c r="O48" s="27">
        <f t="shared" si="2"/>
        <v>0</v>
      </c>
      <c r="P48" s="14"/>
    </row>
    <row r="49" spans="1:16" s="2" customFormat="1" ht="20.25" customHeight="1">
      <c r="A49" s="5">
        <v>6</v>
      </c>
      <c r="B49" s="19" t="s">
        <v>285</v>
      </c>
      <c r="C49" s="20"/>
      <c r="D49" s="42"/>
      <c r="E49" s="13">
        <f>E50+E51</f>
        <v>4.2299999999999995</v>
      </c>
      <c r="F49" s="13">
        <f aca="true" t="shared" si="17" ref="F49:N49">F50+F51</f>
        <v>4.2299999999999995</v>
      </c>
      <c r="G49" s="13">
        <f t="shared" si="17"/>
        <v>4.2299999999999995</v>
      </c>
      <c r="H49" s="13">
        <f t="shared" si="17"/>
        <v>0</v>
      </c>
      <c r="I49" s="13">
        <f t="shared" si="17"/>
        <v>0</v>
      </c>
      <c r="J49" s="13">
        <f t="shared" si="17"/>
        <v>0</v>
      </c>
      <c r="K49" s="13">
        <f t="shared" si="17"/>
        <v>0</v>
      </c>
      <c r="L49" s="13">
        <f t="shared" si="17"/>
        <v>0</v>
      </c>
      <c r="M49" s="13">
        <f t="shared" si="17"/>
        <v>0</v>
      </c>
      <c r="N49" s="13">
        <f t="shared" si="17"/>
        <v>0</v>
      </c>
      <c r="O49" s="26">
        <f t="shared" si="2"/>
        <v>0</v>
      </c>
      <c r="P49" s="13"/>
    </row>
    <row r="50" spans="1:16" ht="20.25" customHeight="1">
      <c r="A50" s="7" t="s">
        <v>4</v>
      </c>
      <c r="B50" s="15" t="s">
        <v>47</v>
      </c>
      <c r="C50" s="71" t="s">
        <v>285</v>
      </c>
      <c r="D50" s="12" t="s">
        <v>48</v>
      </c>
      <c r="E50" s="14">
        <f>F50+I50</f>
        <v>0.002</v>
      </c>
      <c r="F50" s="14">
        <f>G50+H50</f>
        <v>0.002</v>
      </c>
      <c r="G50" s="14">
        <f>2000/1000000</f>
        <v>0.002</v>
      </c>
      <c r="H50" s="14">
        <v>0</v>
      </c>
      <c r="I50" s="14"/>
      <c r="J50" s="14">
        <f>K50+N50</f>
        <v>0</v>
      </c>
      <c r="K50" s="14">
        <f>L50+M50</f>
        <v>0</v>
      </c>
      <c r="L50" s="14"/>
      <c r="M50" s="14"/>
      <c r="N50" s="14"/>
      <c r="O50" s="27">
        <f t="shared" si="2"/>
        <v>0</v>
      </c>
      <c r="P50" s="86" t="s">
        <v>315</v>
      </c>
    </row>
    <row r="51" spans="1:16" ht="20.25" customHeight="1">
      <c r="A51" s="7" t="s">
        <v>4</v>
      </c>
      <c r="B51" s="15" t="s">
        <v>51</v>
      </c>
      <c r="C51" s="71"/>
      <c r="D51" s="12" t="s">
        <v>52</v>
      </c>
      <c r="E51" s="14">
        <f>F51+I51</f>
        <v>4.228</v>
      </c>
      <c r="F51" s="14">
        <f>G51+H51</f>
        <v>4.228</v>
      </c>
      <c r="G51" s="14">
        <f>4228000/1000000</f>
        <v>4.228</v>
      </c>
      <c r="H51" s="14">
        <v>0</v>
      </c>
      <c r="I51" s="14"/>
      <c r="J51" s="14">
        <f>K51+N51</f>
        <v>0</v>
      </c>
      <c r="K51" s="14">
        <f>L51+M51</f>
        <v>0</v>
      </c>
      <c r="L51" s="14"/>
      <c r="M51" s="14"/>
      <c r="N51" s="14"/>
      <c r="O51" s="27">
        <f>J51/E51*100</f>
        <v>0</v>
      </c>
      <c r="P51" s="87"/>
    </row>
    <row r="52" spans="1:16" s="2" customFormat="1" ht="20.25" customHeight="1">
      <c r="A52" s="5">
        <v>7</v>
      </c>
      <c r="B52" s="19" t="s">
        <v>283</v>
      </c>
      <c r="C52" s="20"/>
      <c r="D52" s="42"/>
      <c r="E52" s="13">
        <f>SUM(E53:E56)</f>
        <v>1.672</v>
      </c>
      <c r="F52" s="13">
        <f aca="true" t="shared" si="18" ref="F52:O52">SUM(F53:F56)</f>
        <v>1.672</v>
      </c>
      <c r="G52" s="13">
        <f t="shared" si="18"/>
        <v>1.672</v>
      </c>
      <c r="H52" s="13">
        <f t="shared" si="18"/>
        <v>0</v>
      </c>
      <c r="I52" s="13">
        <f t="shared" si="18"/>
        <v>0</v>
      </c>
      <c r="J52" s="13">
        <f t="shared" si="18"/>
        <v>0</v>
      </c>
      <c r="K52" s="13">
        <f t="shared" si="18"/>
        <v>0</v>
      </c>
      <c r="L52" s="13">
        <f t="shared" si="18"/>
        <v>0</v>
      </c>
      <c r="M52" s="13">
        <f t="shared" si="18"/>
        <v>0</v>
      </c>
      <c r="N52" s="13">
        <f t="shared" si="18"/>
        <v>0</v>
      </c>
      <c r="O52" s="26">
        <f t="shared" si="18"/>
        <v>0</v>
      </c>
      <c r="P52" s="13"/>
    </row>
    <row r="53" spans="1:16" ht="27.75" customHeight="1">
      <c r="A53" s="7" t="s">
        <v>4</v>
      </c>
      <c r="B53" s="15" t="s">
        <v>56</v>
      </c>
      <c r="C53" s="67" t="s">
        <v>283</v>
      </c>
      <c r="D53" s="3">
        <v>7991713</v>
      </c>
      <c r="E53" s="14">
        <f>F53+I53</f>
        <v>1.575</v>
      </c>
      <c r="F53" s="14">
        <f>G53+H53</f>
        <v>1.575</v>
      </c>
      <c r="G53" s="14">
        <f>1575000/1000000</f>
        <v>1.575</v>
      </c>
      <c r="H53" s="14">
        <v>0</v>
      </c>
      <c r="I53" s="14"/>
      <c r="J53" s="14">
        <f>K53+N53</f>
        <v>0</v>
      </c>
      <c r="K53" s="14">
        <f>L53+M53</f>
        <v>0</v>
      </c>
      <c r="L53" s="14"/>
      <c r="M53" s="14"/>
      <c r="N53" s="14"/>
      <c r="O53" s="27">
        <f>J53/E53*100</f>
        <v>0</v>
      </c>
      <c r="P53" s="14"/>
    </row>
    <row r="54" spans="1:16" ht="20.25" customHeight="1">
      <c r="A54" s="7" t="s">
        <v>4</v>
      </c>
      <c r="B54" s="15" t="s">
        <v>53</v>
      </c>
      <c r="C54" s="68"/>
      <c r="D54" s="12" t="s">
        <v>54</v>
      </c>
      <c r="E54" s="14">
        <f>F54+I54</f>
        <v>0.001</v>
      </c>
      <c r="F54" s="14">
        <f>G54+H54</f>
        <v>0.001</v>
      </c>
      <c r="G54" s="14">
        <f>1000/1000000</f>
        <v>0.001</v>
      </c>
      <c r="H54" s="14">
        <v>0</v>
      </c>
      <c r="I54" s="14"/>
      <c r="J54" s="14">
        <f>K54+N54</f>
        <v>0</v>
      </c>
      <c r="K54" s="14">
        <f>L54+M54</f>
        <v>0</v>
      </c>
      <c r="L54" s="14"/>
      <c r="M54" s="14"/>
      <c r="N54" s="14"/>
      <c r="O54" s="27">
        <f t="shared" si="2"/>
        <v>0</v>
      </c>
      <c r="P54" s="14"/>
    </row>
    <row r="55" spans="1:16" ht="36" customHeight="1">
      <c r="A55" s="7" t="s">
        <v>4</v>
      </c>
      <c r="B55" s="15" t="s">
        <v>59</v>
      </c>
      <c r="C55" s="68"/>
      <c r="D55" s="3" t="s">
        <v>67</v>
      </c>
      <c r="E55" s="14">
        <f>F55+I55</f>
        <v>0.094</v>
      </c>
      <c r="F55" s="14">
        <f>G55+H55</f>
        <v>0.094</v>
      </c>
      <c r="G55" s="14">
        <f>94000/1000000</f>
        <v>0.094</v>
      </c>
      <c r="H55" s="14">
        <v>0</v>
      </c>
      <c r="I55" s="14"/>
      <c r="J55" s="14">
        <f>K55+N55</f>
        <v>0</v>
      </c>
      <c r="K55" s="14">
        <f>L55+M55</f>
        <v>0</v>
      </c>
      <c r="L55" s="14"/>
      <c r="M55" s="14"/>
      <c r="N55" s="14"/>
      <c r="O55" s="27">
        <f>J55/E55*100</f>
        <v>0</v>
      </c>
      <c r="P55" s="14"/>
    </row>
    <row r="56" spans="1:16" ht="25.5">
      <c r="A56" s="7" t="s">
        <v>4</v>
      </c>
      <c r="B56" s="15" t="s">
        <v>55</v>
      </c>
      <c r="C56" s="69"/>
      <c r="D56" s="3">
        <v>7991711</v>
      </c>
      <c r="E56" s="14">
        <f>F56+I56</f>
        <v>0.002</v>
      </c>
      <c r="F56" s="14">
        <f>G56+H56</f>
        <v>0.002</v>
      </c>
      <c r="G56" s="14">
        <f>2000/1000000</f>
        <v>0.002</v>
      </c>
      <c r="H56" s="14">
        <v>0</v>
      </c>
      <c r="I56" s="14"/>
      <c r="J56" s="14">
        <f>K56+N56</f>
        <v>0</v>
      </c>
      <c r="K56" s="14">
        <f>L56+M56</f>
        <v>0</v>
      </c>
      <c r="L56" s="14"/>
      <c r="M56" s="14"/>
      <c r="N56" s="14"/>
      <c r="O56" s="27">
        <f t="shared" si="2"/>
        <v>0</v>
      </c>
      <c r="P56" s="14"/>
    </row>
    <row r="57" spans="1:16" s="2" customFormat="1" ht="12.75">
      <c r="A57" s="5">
        <v>8</v>
      </c>
      <c r="B57" s="19" t="s">
        <v>284</v>
      </c>
      <c r="C57" s="20"/>
      <c r="D57" s="25"/>
      <c r="E57" s="13">
        <f>SUM(E58:E60)</f>
        <v>81.403</v>
      </c>
      <c r="F57" s="13">
        <f aca="true" t="shared" si="19" ref="F57:O57">SUM(F58:F60)</f>
        <v>81.403</v>
      </c>
      <c r="G57" s="13">
        <f>SUM(G58:G60)</f>
        <v>81.403</v>
      </c>
      <c r="H57" s="13">
        <f t="shared" si="19"/>
        <v>0</v>
      </c>
      <c r="I57" s="13">
        <f t="shared" si="19"/>
        <v>0</v>
      </c>
      <c r="J57" s="13">
        <f t="shared" si="19"/>
        <v>0</v>
      </c>
      <c r="K57" s="13">
        <f t="shared" si="19"/>
        <v>0</v>
      </c>
      <c r="L57" s="13">
        <f t="shared" si="19"/>
        <v>0</v>
      </c>
      <c r="M57" s="13">
        <f t="shared" si="19"/>
        <v>0</v>
      </c>
      <c r="N57" s="13">
        <f t="shared" si="19"/>
        <v>0</v>
      </c>
      <c r="O57" s="26">
        <f t="shared" si="19"/>
        <v>0</v>
      </c>
      <c r="P57" s="13"/>
    </row>
    <row r="58" spans="1:16" ht="25.5">
      <c r="A58" s="7" t="s">
        <v>4</v>
      </c>
      <c r="B58" s="15" t="s">
        <v>88</v>
      </c>
      <c r="C58" s="67" t="s">
        <v>284</v>
      </c>
      <c r="D58" s="3" t="s">
        <v>78</v>
      </c>
      <c r="E58" s="14">
        <f>F58+I58</f>
        <v>26.31</v>
      </c>
      <c r="F58" s="14">
        <f>G58+H58</f>
        <v>26.31</v>
      </c>
      <c r="G58" s="14">
        <f>26310000/1000000</f>
        <v>26.31</v>
      </c>
      <c r="H58" s="14">
        <v>0</v>
      </c>
      <c r="I58" s="14"/>
      <c r="J58" s="14">
        <f>K58+N58</f>
        <v>0</v>
      </c>
      <c r="K58" s="14">
        <f>L58+M58</f>
        <v>0</v>
      </c>
      <c r="L58" s="14"/>
      <c r="M58" s="14"/>
      <c r="N58" s="14"/>
      <c r="O58" s="27">
        <f>J58/E58*100</f>
        <v>0</v>
      </c>
      <c r="P58" s="14"/>
    </row>
    <row r="59" spans="1:16" ht="25.5">
      <c r="A59" s="7" t="s">
        <v>4</v>
      </c>
      <c r="B59" s="15" t="s">
        <v>90</v>
      </c>
      <c r="C59" s="68"/>
      <c r="D59" s="3" t="s">
        <v>80</v>
      </c>
      <c r="E59" s="14">
        <f>F59+I59</f>
        <v>52.946</v>
      </c>
      <c r="F59" s="14">
        <f>G59+H59</f>
        <v>52.946</v>
      </c>
      <c r="G59" s="14">
        <f>52946000/1000000</f>
        <v>52.946</v>
      </c>
      <c r="H59" s="14">
        <v>0</v>
      </c>
      <c r="I59" s="14"/>
      <c r="J59" s="14">
        <f>K59+N59</f>
        <v>0</v>
      </c>
      <c r="K59" s="14">
        <f>L59+M59</f>
        <v>0</v>
      </c>
      <c r="L59" s="14"/>
      <c r="M59" s="14"/>
      <c r="N59" s="14"/>
      <c r="O59" s="27">
        <f>J59/E59*100</f>
        <v>0</v>
      </c>
      <c r="P59" s="62"/>
    </row>
    <row r="60" spans="1:15" ht="25.5">
      <c r="A60" s="7" t="s">
        <v>4</v>
      </c>
      <c r="B60" s="15" t="s">
        <v>57</v>
      </c>
      <c r="C60" s="69"/>
      <c r="D60" s="3">
        <v>7992671</v>
      </c>
      <c r="E60" s="14">
        <f>F60+I60</f>
        <v>2.147</v>
      </c>
      <c r="F60" s="14">
        <f>G60+H60</f>
        <v>2.147</v>
      </c>
      <c r="G60" s="14">
        <f>2147000/1000000</f>
        <v>2.147</v>
      </c>
      <c r="H60" s="14">
        <v>0</v>
      </c>
      <c r="I60" s="14"/>
      <c r="J60" s="14">
        <f>K60+N60</f>
        <v>0</v>
      </c>
      <c r="K60" s="14">
        <f>L60+M60</f>
        <v>0</v>
      </c>
      <c r="L60" s="14"/>
      <c r="M60" s="14"/>
      <c r="N60" s="14"/>
      <c r="O60" s="27">
        <f>J60/E60*100</f>
        <v>0</v>
      </c>
    </row>
    <row r="61" spans="1:16" s="2" customFormat="1" ht="12.75">
      <c r="A61" s="5">
        <v>9</v>
      </c>
      <c r="B61" s="19" t="s">
        <v>286</v>
      </c>
      <c r="C61" s="20"/>
      <c r="D61" s="25"/>
      <c r="E61" s="13">
        <f>E62</f>
        <v>30.453847</v>
      </c>
      <c r="F61" s="13">
        <f aca="true" t="shared" si="20" ref="F61:N61">F62</f>
        <v>30.453847</v>
      </c>
      <c r="G61" s="13">
        <f t="shared" si="20"/>
        <v>30.453847</v>
      </c>
      <c r="H61" s="13">
        <f t="shared" si="20"/>
        <v>0</v>
      </c>
      <c r="I61" s="13">
        <f t="shared" si="20"/>
        <v>0</v>
      </c>
      <c r="J61" s="13">
        <f t="shared" si="20"/>
        <v>0</v>
      </c>
      <c r="K61" s="13">
        <f t="shared" si="20"/>
        <v>0</v>
      </c>
      <c r="L61" s="13">
        <f t="shared" si="20"/>
        <v>0</v>
      </c>
      <c r="M61" s="13">
        <f t="shared" si="20"/>
        <v>0</v>
      </c>
      <c r="N61" s="13">
        <f t="shared" si="20"/>
        <v>0</v>
      </c>
      <c r="O61" s="26">
        <f t="shared" si="2"/>
        <v>0</v>
      </c>
      <c r="P61" s="13"/>
    </row>
    <row r="62" spans="1:16" s="2" customFormat="1" ht="12.75">
      <c r="A62" s="7" t="s">
        <v>4</v>
      </c>
      <c r="B62" s="15" t="s">
        <v>89</v>
      </c>
      <c r="C62" s="16" t="s">
        <v>286</v>
      </c>
      <c r="D62" s="3" t="s">
        <v>79</v>
      </c>
      <c r="E62" s="14">
        <f>F62+I62</f>
        <v>30.453847</v>
      </c>
      <c r="F62" s="14">
        <f>G62+H62</f>
        <v>30.453847</v>
      </c>
      <c r="G62" s="14">
        <f>30453847/1000000</f>
        <v>30.453847</v>
      </c>
      <c r="H62" s="14">
        <v>0</v>
      </c>
      <c r="I62" s="14"/>
      <c r="J62" s="14">
        <f>K62+N62</f>
        <v>0</v>
      </c>
      <c r="K62" s="14">
        <f>L62+M62</f>
        <v>0</v>
      </c>
      <c r="L62" s="14"/>
      <c r="M62" s="14"/>
      <c r="N62" s="14"/>
      <c r="O62" s="27">
        <f>J62/E62*100</f>
        <v>0</v>
      </c>
      <c r="P62" s="14"/>
    </row>
    <row r="63" spans="3:15" ht="12.75">
      <c r="C63" s="1"/>
      <c r="D63" s="1"/>
      <c r="E63" s="1"/>
      <c r="O63" s="64"/>
    </row>
    <row r="64" spans="1:16" s="2" customFormat="1" ht="25.5">
      <c r="A64" s="51" t="s">
        <v>5</v>
      </c>
      <c r="B64" s="52" t="s">
        <v>96</v>
      </c>
      <c r="C64" s="53"/>
      <c r="D64" s="54"/>
      <c r="E64" s="55">
        <f aca="true" t="shared" si="21" ref="E64:N64">E65</f>
        <v>9187.212000000001</v>
      </c>
      <c r="F64" s="55">
        <f t="shared" si="21"/>
        <v>1687.212</v>
      </c>
      <c r="G64" s="55">
        <f t="shared" si="21"/>
        <v>1687.212</v>
      </c>
      <c r="H64" s="55">
        <f t="shared" si="21"/>
        <v>0</v>
      </c>
      <c r="I64" s="55">
        <f t="shared" si="21"/>
        <v>7500</v>
      </c>
      <c r="J64" s="55">
        <f t="shared" si="21"/>
        <v>935.2660000000001</v>
      </c>
      <c r="K64" s="55">
        <f t="shared" si="21"/>
        <v>0</v>
      </c>
      <c r="L64" s="55">
        <f t="shared" si="21"/>
        <v>0</v>
      </c>
      <c r="M64" s="55">
        <f t="shared" si="21"/>
        <v>0</v>
      </c>
      <c r="N64" s="55">
        <f t="shared" si="21"/>
        <v>935.2660000000001</v>
      </c>
      <c r="O64" s="56">
        <f>J64/E64*100</f>
        <v>10.180085100898944</v>
      </c>
      <c r="P64" s="55">
        <f>P65</f>
        <v>0</v>
      </c>
    </row>
    <row r="65" spans="1:16" s="2" customFormat="1" ht="39">
      <c r="A65" s="32" t="s">
        <v>8</v>
      </c>
      <c r="B65" s="33" t="s">
        <v>126</v>
      </c>
      <c r="C65" s="34"/>
      <c r="D65" s="35"/>
      <c r="E65" s="30">
        <f>E66+E69+E80+E86+E89+E91+E93+E96</f>
        <v>9187.212000000001</v>
      </c>
      <c r="F65" s="30">
        <f aca="true" t="shared" si="22" ref="F65:N65">F66+F69+F80+F86+F89+F91+F93+F96</f>
        <v>1687.212</v>
      </c>
      <c r="G65" s="30">
        <f t="shared" si="22"/>
        <v>1687.212</v>
      </c>
      <c r="H65" s="30">
        <f t="shared" si="22"/>
        <v>0</v>
      </c>
      <c r="I65" s="30">
        <f t="shared" si="22"/>
        <v>7500</v>
      </c>
      <c r="J65" s="30">
        <f t="shared" si="22"/>
        <v>935.2660000000001</v>
      </c>
      <c r="K65" s="30">
        <f t="shared" si="22"/>
        <v>0</v>
      </c>
      <c r="L65" s="30">
        <f t="shared" si="22"/>
        <v>0</v>
      </c>
      <c r="M65" s="30">
        <f t="shared" si="22"/>
        <v>0</v>
      </c>
      <c r="N65" s="30">
        <f t="shared" si="22"/>
        <v>935.2660000000001</v>
      </c>
      <c r="O65" s="31">
        <f aca="true" t="shared" si="23" ref="O65:O128">J65/E65*100</f>
        <v>10.180085100898944</v>
      </c>
      <c r="P65" s="30">
        <f>SUM(P67:P97)</f>
        <v>0</v>
      </c>
    </row>
    <row r="66" spans="1:16" s="2" customFormat="1" ht="12.75">
      <c r="A66" s="6">
        <v>1</v>
      </c>
      <c r="B66" s="11" t="s">
        <v>288</v>
      </c>
      <c r="C66" s="45"/>
      <c r="D66" s="3"/>
      <c r="E66" s="13">
        <f>SUM(E67:E68)</f>
        <v>1700</v>
      </c>
      <c r="F66" s="13">
        <f aca="true" t="shared" si="24" ref="F66:N66">SUM(F67:F68)</f>
        <v>0</v>
      </c>
      <c r="G66" s="13">
        <f t="shared" si="24"/>
        <v>0</v>
      </c>
      <c r="H66" s="13">
        <f t="shared" si="24"/>
        <v>0</v>
      </c>
      <c r="I66" s="13">
        <f t="shared" si="24"/>
        <v>1700</v>
      </c>
      <c r="J66" s="13">
        <f t="shared" si="24"/>
        <v>0</v>
      </c>
      <c r="K66" s="13">
        <f t="shared" si="24"/>
        <v>0</v>
      </c>
      <c r="L66" s="13">
        <f t="shared" si="24"/>
        <v>0</v>
      </c>
      <c r="M66" s="13">
        <f t="shared" si="24"/>
        <v>0</v>
      </c>
      <c r="N66" s="13">
        <f t="shared" si="24"/>
        <v>0</v>
      </c>
      <c r="O66" s="26">
        <f t="shared" si="23"/>
        <v>0</v>
      </c>
      <c r="P66" s="13"/>
    </row>
    <row r="67" spans="1:16" s="2" customFormat="1" ht="25.5">
      <c r="A67" s="9" t="s">
        <v>4</v>
      </c>
      <c r="B67" s="15" t="s">
        <v>226</v>
      </c>
      <c r="C67" s="67" t="s">
        <v>288</v>
      </c>
      <c r="D67" s="3">
        <v>8067002</v>
      </c>
      <c r="E67" s="14">
        <f>F67+I67</f>
        <v>1100</v>
      </c>
      <c r="F67" s="14">
        <f>G67+H67</f>
        <v>0</v>
      </c>
      <c r="G67" s="14">
        <v>0</v>
      </c>
      <c r="H67" s="14"/>
      <c r="I67" s="14">
        <v>1100</v>
      </c>
      <c r="J67" s="14">
        <f>K67+N67</f>
        <v>0</v>
      </c>
      <c r="K67" s="14">
        <f>L67+M67</f>
        <v>0</v>
      </c>
      <c r="L67" s="14"/>
      <c r="M67" s="14"/>
      <c r="N67" s="14"/>
      <c r="O67" s="27">
        <f t="shared" si="23"/>
        <v>0</v>
      </c>
      <c r="P67" s="13"/>
    </row>
    <row r="68" spans="1:16" s="2" customFormat="1" ht="25.5">
      <c r="A68" s="9" t="s">
        <v>4</v>
      </c>
      <c r="B68" s="15" t="s">
        <v>228</v>
      </c>
      <c r="C68" s="69"/>
      <c r="D68" s="3">
        <v>8067003</v>
      </c>
      <c r="E68" s="14">
        <f>F68+I68</f>
        <v>600</v>
      </c>
      <c r="F68" s="14">
        <f>G68+H68</f>
        <v>0</v>
      </c>
      <c r="G68" s="14">
        <v>0</v>
      </c>
      <c r="H68" s="14"/>
      <c r="I68" s="14">
        <v>600</v>
      </c>
      <c r="J68" s="14">
        <f>K68+N68</f>
        <v>0</v>
      </c>
      <c r="K68" s="14">
        <f>L68+M68</f>
        <v>0</v>
      </c>
      <c r="L68" s="14"/>
      <c r="M68" s="14"/>
      <c r="N68" s="14"/>
      <c r="O68" s="27">
        <f t="shared" si="23"/>
        <v>0</v>
      </c>
      <c r="P68" s="13"/>
    </row>
    <row r="69" spans="1:16" s="2" customFormat="1" ht="12.75">
      <c r="A69" s="6">
        <v>2</v>
      </c>
      <c r="B69" s="19" t="s">
        <v>284</v>
      </c>
      <c r="C69" s="43"/>
      <c r="D69" s="25"/>
      <c r="E69" s="13">
        <f>SUM(E70:E79)</f>
        <v>3810.307</v>
      </c>
      <c r="F69" s="13">
        <f aca="true" t="shared" si="25" ref="F69:N69">SUM(F70:F79)</f>
        <v>1060.307</v>
      </c>
      <c r="G69" s="13">
        <f t="shared" si="25"/>
        <v>1060.307</v>
      </c>
      <c r="H69" s="13">
        <f t="shared" si="25"/>
        <v>0</v>
      </c>
      <c r="I69" s="13">
        <f t="shared" si="25"/>
        <v>2750</v>
      </c>
      <c r="J69" s="13">
        <f t="shared" si="25"/>
        <v>0</v>
      </c>
      <c r="K69" s="13">
        <f t="shared" si="25"/>
        <v>0</v>
      </c>
      <c r="L69" s="13">
        <f t="shared" si="25"/>
        <v>0</v>
      </c>
      <c r="M69" s="13">
        <f t="shared" si="25"/>
        <v>0</v>
      </c>
      <c r="N69" s="13">
        <f t="shared" si="25"/>
        <v>0</v>
      </c>
      <c r="O69" s="26">
        <f t="shared" si="23"/>
        <v>0</v>
      </c>
      <c r="P69" s="13"/>
    </row>
    <row r="70" spans="1:16" s="2" customFormat="1" ht="25.5">
      <c r="A70" s="9" t="s">
        <v>4</v>
      </c>
      <c r="B70" s="15" t="s">
        <v>230</v>
      </c>
      <c r="C70" s="67" t="s">
        <v>284</v>
      </c>
      <c r="D70" s="3">
        <v>8067391</v>
      </c>
      <c r="E70" s="14">
        <f aca="true" t="shared" si="26" ref="E70:E79">F70+I70</f>
        <v>650</v>
      </c>
      <c r="F70" s="14">
        <f aca="true" t="shared" si="27" ref="F70:F79">G70+H70</f>
        <v>0</v>
      </c>
      <c r="G70" s="14">
        <v>0</v>
      </c>
      <c r="H70" s="14"/>
      <c r="I70" s="14">
        <v>650</v>
      </c>
      <c r="J70" s="14">
        <f aca="true" t="shared" si="28" ref="J70:J79">K70+N70</f>
        <v>0</v>
      </c>
      <c r="K70" s="14">
        <f aca="true" t="shared" si="29" ref="K70:K79">L70+M70</f>
        <v>0</v>
      </c>
      <c r="L70" s="14"/>
      <c r="M70" s="14"/>
      <c r="N70" s="14"/>
      <c r="O70" s="27">
        <f t="shared" si="23"/>
        <v>0</v>
      </c>
      <c r="P70" s="13"/>
    </row>
    <row r="71" spans="1:16" s="2" customFormat="1" ht="25.5">
      <c r="A71" s="9" t="s">
        <v>4</v>
      </c>
      <c r="B71" s="15" t="s">
        <v>231</v>
      </c>
      <c r="C71" s="68"/>
      <c r="D71" s="3">
        <v>8067392</v>
      </c>
      <c r="E71" s="14">
        <f t="shared" si="26"/>
        <v>700</v>
      </c>
      <c r="F71" s="14">
        <f t="shared" si="27"/>
        <v>0</v>
      </c>
      <c r="G71" s="14">
        <v>0</v>
      </c>
      <c r="H71" s="14"/>
      <c r="I71" s="14">
        <v>700</v>
      </c>
      <c r="J71" s="14">
        <f t="shared" si="28"/>
        <v>0</v>
      </c>
      <c r="K71" s="14">
        <f t="shared" si="29"/>
        <v>0</v>
      </c>
      <c r="L71" s="14"/>
      <c r="M71" s="14"/>
      <c r="N71" s="14"/>
      <c r="O71" s="27">
        <f t="shared" si="23"/>
        <v>0</v>
      </c>
      <c r="P71" s="13"/>
    </row>
    <row r="72" spans="1:16" s="2" customFormat="1" ht="25.5">
      <c r="A72" s="9" t="s">
        <v>4</v>
      </c>
      <c r="B72" s="15" t="s">
        <v>232</v>
      </c>
      <c r="C72" s="68"/>
      <c r="D72" s="3">
        <v>8067393</v>
      </c>
      <c r="E72" s="14">
        <f t="shared" si="26"/>
        <v>700</v>
      </c>
      <c r="F72" s="14">
        <f t="shared" si="27"/>
        <v>0</v>
      </c>
      <c r="G72" s="14">
        <v>0</v>
      </c>
      <c r="H72" s="14"/>
      <c r="I72" s="14">
        <v>700</v>
      </c>
      <c r="J72" s="14">
        <f t="shared" si="28"/>
        <v>0</v>
      </c>
      <c r="K72" s="14">
        <f t="shared" si="29"/>
        <v>0</v>
      </c>
      <c r="L72" s="14"/>
      <c r="M72" s="14"/>
      <c r="N72" s="14"/>
      <c r="O72" s="27">
        <f t="shared" si="23"/>
        <v>0</v>
      </c>
      <c r="P72" s="13"/>
    </row>
    <row r="73" spans="1:16" s="2" customFormat="1" ht="25.5">
      <c r="A73" s="9" t="s">
        <v>4</v>
      </c>
      <c r="B73" s="15" t="s">
        <v>233</v>
      </c>
      <c r="C73" s="68"/>
      <c r="D73" s="3">
        <v>8067394</v>
      </c>
      <c r="E73" s="14">
        <f t="shared" si="26"/>
        <v>700</v>
      </c>
      <c r="F73" s="14">
        <f t="shared" si="27"/>
        <v>0</v>
      </c>
      <c r="G73" s="14">
        <v>0</v>
      </c>
      <c r="H73" s="14"/>
      <c r="I73" s="14">
        <v>700</v>
      </c>
      <c r="J73" s="14">
        <f t="shared" si="28"/>
        <v>0</v>
      </c>
      <c r="K73" s="14">
        <f t="shared" si="29"/>
        <v>0</v>
      </c>
      <c r="L73" s="14"/>
      <c r="M73" s="14"/>
      <c r="N73" s="14"/>
      <c r="O73" s="27">
        <f t="shared" si="23"/>
        <v>0</v>
      </c>
      <c r="P73" s="13"/>
    </row>
    <row r="74" spans="1:16" s="2" customFormat="1" ht="25.5">
      <c r="A74" s="9" t="s">
        <v>4</v>
      </c>
      <c r="B74" s="15" t="s">
        <v>103</v>
      </c>
      <c r="C74" s="68"/>
      <c r="D74" s="3" t="s">
        <v>116</v>
      </c>
      <c r="E74" s="14">
        <f t="shared" si="26"/>
        <v>2.093</v>
      </c>
      <c r="F74" s="14">
        <f t="shared" si="27"/>
        <v>2.093</v>
      </c>
      <c r="G74" s="14">
        <f>2093000/1000000</f>
        <v>2.093</v>
      </c>
      <c r="H74" s="14">
        <v>0</v>
      </c>
      <c r="I74" s="14"/>
      <c r="J74" s="14">
        <f t="shared" si="28"/>
        <v>0</v>
      </c>
      <c r="K74" s="14">
        <f t="shared" si="29"/>
        <v>0</v>
      </c>
      <c r="L74" s="14"/>
      <c r="M74" s="14"/>
      <c r="N74" s="14"/>
      <c r="O74" s="27">
        <f t="shared" si="23"/>
        <v>0</v>
      </c>
      <c r="P74" s="14"/>
    </row>
    <row r="75" spans="1:16" s="2" customFormat="1" ht="12.75">
      <c r="A75" s="9" t="s">
        <v>4</v>
      </c>
      <c r="B75" s="15" t="s">
        <v>104</v>
      </c>
      <c r="C75" s="68"/>
      <c r="D75" s="3" t="s">
        <v>117</v>
      </c>
      <c r="E75" s="14">
        <f t="shared" si="26"/>
        <v>1.597</v>
      </c>
      <c r="F75" s="14">
        <f t="shared" si="27"/>
        <v>1.597</v>
      </c>
      <c r="G75" s="14">
        <f>1597000/1000000</f>
        <v>1.597</v>
      </c>
      <c r="H75" s="14">
        <v>0</v>
      </c>
      <c r="I75" s="14"/>
      <c r="J75" s="14">
        <f t="shared" si="28"/>
        <v>0</v>
      </c>
      <c r="K75" s="14">
        <f t="shared" si="29"/>
        <v>0</v>
      </c>
      <c r="L75" s="14"/>
      <c r="M75" s="14"/>
      <c r="N75" s="14"/>
      <c r="O75" s="27">
        <f t="shared" si="23"/>
        <v>0</v>
      </c>
      <c r="P75" s="14"/>
    </row>
    <row r="76" spans="1:16" s="2" customFormat="1" ht="12.75">
      <c r="A76" s="9" t="s">
        <v>4</v>
      </c>
      <c r="B76" s="15" t="s">
        <v>108</v>
      </c>
      <c r="C76" s="68"/>
      <c r="D76" s="3" t="s">
        <v>121</v>
      </c>
      <c r="E76" s="14">
        <f t="shared" si="26"/>
        <v>103.267</v>
      </c>
      <c r="F76" s="14">
        <f t="shared" si="27"/>
        <v>103.267</v>
      </c>
      <c r="G76" s="14">
        <f>103267000/1000000</f>
        <v>103.267</v>
      </c>
      <c r="H76" s="14">
        <v>0</v>
      </c>
      <c r="I76" s="14"/>
      <c r="J76" s="14">
        <f t="shared" si="28"/>
        <v>0</v>
      </c>
      <c r="K76" s="14">
        <f t="shared" si="29"/>
        <v>0</v>
      </c>
      <c r="L76" s="14"/>
      <c r="M76" s="14"/>
      <c r="N76" s="14"/>
      <c r="O76" s="27">
        <f t="shared" si="23"/>
        <v>0</v>
      </c>
      <c r="P76" s="14"/>
    </row>
    <row r="77" spans="1:16" s="2" customFormat="1" ht="12.75">
      <c r="A77" s="9" t="s">
        <v>4</v>
      </c>
      <c r="B77" s="15" t="s">
        <v>109</v>
      </c>
      <c r="C77" s="68"/>
      <c r="D77" s="3" t="s">
        <v>122</v>
      </c>
      <c r="E77" s="14">
        <f t="shared" si="26"/>
        <v>103.35</v>
      </c>
      <c r="F77" s="14">
        <f t="shared" si="27"/>
        <v>103.35</v>
      </c>
      <c r="G77" s="14">
        <f>103350000/1000000</f>
        <v>103.35</v>
      </c>
      <c r="H77" s="14">
        <v>0</v>
      </c>
      <c r="I77" s="14"/>
      <c r="J77" s="14">
        <f t="shared" si="28"/>
        <v>0</v>
      </c>
      <c r="K77" s="14">
        <f t="shared" si="29"/>
        <v>0</v>
      </c>
      <c r="L77" s="14"/>
      <c r="M77" s="14"/>
      <c r="N77" s="14"/>
      <c r="O77" s="27">
        <f t="shared" si="23"/>
        <v>0</v>
      </c>
      <c r="P77" s="14"/>
    </row>
    <row r="78" spans="1:16" s="2" customFormat="1" ht="12.75">
      <c r="A78" s="9" t="s">
        <v>4</v>
      </c>
      <c r="B78" s="17" t="s">
        <v>110</v>
      </c>
      <c r="C78" s="68"/>
      <c r="D78" s="3" t="s">
        <v>124</v>
      </c>
      <c r="E78" s="14">
        <f t="shared" si="26"/>
        <v>50</v>
      </c>
      <c r="F78" s="14">
        <f t="shared" si="27"/>
        <v>50</v>
      </c>
      <c r="G78" s="14">
        <f>50000000/1000000</f>
        <v>50</v>
      </c>
      <c r="H78" s="14">
        <v>0</v>
      </c>
      <c r="I78" s="14"/>
      <c r="J78" s="14">
        <f t="shared" si="28"/>
        <v>0</v>
      </c>
      <c r="K78" s="14">
        <f t="shared" si="29"/>
        <v>0</v>
      </c>
      <c r="L78" s="14"/>
      <c r="M78" s="14"/>
      <c r="N78" s="14"/>
      <c r="O78" s="27">
        <f t="shared" si="23"/>
        <v>0</v>
      </c>
      <c r="P78" s="14"/>
    </row>
    <row r="79" spans="1:16" s="2" customFormat="1" ht="12.75">
      <c r="A79" s="9" t="s">
        <v>4</v>
      </c>
      <c r="B79" s="17" t="s">
        <v>97</v>
      </c>
      <c r="C79" s="69"/>
      <c r="D79" s="3">
        <v>8064854</v>
      </c>
      <c r="E79" s="14">
        <f t="shared" si="26"/>
        <v>800</v>
      </c>
      <c r="F79" s="14">
        <f t="shared" si="27"/>
        <v>800</v>
      </c>
      <c r="G79" s="14">
        <f>800000000/1000000</f>
        <v>800</v>
      </c>
      <c r="H79" s="14">
        <v>0</v>
      </c>
      <c r="I79" s="14"/>
      <c r="J79" s="14">
        <f t="shared" si="28"/>
        <v>0</v>
      </c>
      <c r="K79" s="14">
        <f t="shared" si="29"/>
        <v>0</v>
      </c>
      <c r="L79" s="14"/>
      <c r="M79" s="14"/>
      <c r="N79" s="14"/>
      <c r="O79" s="27">
        <f t="shared" si="23"/>
        <v>0</v>
      </c>
      <c r="P79" s="14"/>
    </row>
    <row r="80" spans="1:16" s="2" customFormat="1" ht="12.75">
      <c r="A80" s="6">
        <v>3</v>
      </c>
      <c r="B80" s="21" t="s">
        <v>283</v>
      </c>
      <c r="C80" s="43"/>
      <c r="D80" s="25"/>
      <c r="E80" s="13">
        <f>SUM(E81:E85)</f>
        <v>1813.0900000000001</v>
      </c>
      <c r="F80" s="13">
        <f aca="true" t="shared" si="30" ref="F80:N80">SUM(F81:F85)</f>
        <v>13.09</v>
      </c>
      <c r="G80" s="13">
        <f t="shared" si="30"/>
        <v>13.09</v>
      </c>
      <c r="H80" s="13">
        <f t="shared" si="30"/>
        <v>0</v>
      </c>
      <c r="I80" s="13">
        <f t="shared" si="30"/>
        <v>1800</v>
      </c>
      <c r="J80" s="13">
        <f t="shared" si="30"/>
        <v>453.044</v>
      </c>
      <c r="K80" s="13">
        <f t="shared" si="30"/>
        <v>0</v>
      </c>
      <c r="L80" s="13">
        <f t="shared" si="30"/>
        <v>0</v>
      </c>
      <c r="M80" s="13">
        <f t="shared" si="30"/>
        <v>0</v>
      </c>
      <c r="N80" s="13">
        <f t="shared" si="30"/>
        <v>453.044</v>
      </c>
      <c r="O80" s="26">
        <f t="shared" si="23"/>
        <v>24.98739720587505</v>
      </c>
      <c r="P80" s="13"/>
    </row>
    <row r="81" spans="1:16" s="2" customFormat="1" ht="25.5">
      <c r="A81" s="9" t="s">
        <v>4</v>
      </c>
      <c r="B81" s="15" t="s">
        <v>234</v>
      </c>
      <c r="C81" s="67" t="s">
        <v>283</v>
      </c>
      <c r="D81" s="3">
        <v>8066065</v>
      </c>
      <c r="E81" s="14">
        <f>F81+I81</f>
        <v>550</v>
      </c>
      <c r="F81" s="14">
        <f>G81+H81</f>
        <v>0</v>
      </c>
      <c r="G81" s="14">
        <v>0</v>
      </c>
      <c r="H81" s="13"/>
      <c r="I81" s="14">
        <v>550</v>
      </c>
      <c r="J81" s="14">
        <f>K81+N81</f>
        <v>453.044</v>
      </c>
      <c r="K81" s="14">
        <f>L81+M81</f>
        <v>0</v>
      </c>
      <c r="L81" s="14"/>
      <c r="M81" s="13"/>
      <c r="N81" s="14">
        <v>453.044</v>
      </c>
      <c r="O81" s="27">
        <f t="shared" si="23"/>
        <v>82.37163636363636</v>
      </c>
      <c r="P81" s="13"/>
    </row>
    <row r="82" spans="1:16" s="2" customFormat="1" ht="12.75">
      <c r="A82" s="9" t="s">
        <v>4</v>
      </c>
      <c r="B82" s="15" t="s">
        <v>236</v>
      </c>
      <c r="C82" s="68"/>
      <c r="D82" s="3">
        <v>8068007</v>
      </c>
      <c r="E82" s="14">
        <f>F82+I82</f>
        <v>1250</v>
      </c>
      <c r="F82" s="14">
        <f>G82+H82</f>
        <v>0</v>
      </c>
      <c r="G82" s="14">
        <v>0</v>
      </c>
      <c r="H82" s="13"/>
      <c r="I82" s="14">
        <v>1250</v>
      </c>
      <c r="J82" s="14">
        <f>K82+N82</f>
        <v>0</v>
      </c>
      <c r="K82" s="14">
        <f>L82+M82</f>
        <v>0</v>
      </c>
      <c r="L82" s="14"/>
      <c r="M82" s="13"/>
      <c r="N82" s="14"/>
      <c r="O82" s="27">
        <f t="shared" si="23"/>
        <v>0</v>
      </c>
      <c r="P82" s="13"/>
    </row>
    <row r="83" spans="1:16" s="2" customFormat="1" ht="25.5">
      <c r="A83" s="9" t="s">
        <v>4</v>
      </c>
      <c r="B83" s="15" t="s">
        <v>100</v>
      </c>
      <c r="C83" s="68"/>
      <c r="D83" s="3" t="s">
        <v>113</v>
      </c>
      <c r="E83" s="14">
        <f>F83+I83</f>
        <v>2.64</v>
      </c>
      <c r="F83" s="14">
        <f>G83+H83</f>
        <v>2.64</v>
      </c>
      <c r="G83" s="14">
        <f>2640000/1000000</f>
        <v>2.64</v>
      </c>
      <c r="H83" s="14">
        <v>0</v>
      </c>
      <c r="I83" s="14"/>
      <c r="J83" s="14">
        <f>K83+N83</f>
        <v>0</v>
      </c>
      <c r="K83" s="14">
        <f>L83+M83</f>
        <v>0</v>
      </c>
      <c r="L83" s="14"/>
      <c r="M83" s="14"/>
      <c r="N83" s="14"/>
      <c r="O83" s="27">
        <f t="shared" si="23"/>
        <v>0</v>
      </c>
      <c r="P83" s="14"/>
    </row>
    <row r="84" spans="1:16" s="2" customFormat="1" ht="25.5">
      <c r="A84" s="9" t="s">
        <v>4</v>
      </c>
      <c r="B84" s="15" t="s">
        <v>101</v>
      </c>
      <c r="C84" s="68"/>
      <c r="D84" s="3" t="s">
        <v>114</v>
      </c>
      <c r="E84" s="14">
        <f>F84+I84</f>
        <v>0.338</v>
      </c>
      <c r="F84" s="14">
        <f>G84+H84</f>
        <v>0.338</v>
      </c>
      <c r="G84" s="14">
        <f>338000/1000000</f>
        <v>0.338</v>
      </c>
      <c r="H84" s="14">
        <v>0</v>
      </c>
      <c r="I84" s="14"/>
      <c r="J84" s="14">
        <f>K84+N84</f>
        <v>0</v>
      </c>
      <c r="K84" s="14">
        <f>L84+M84</f>
        <v>0</v>
      </c>
      <c r="L84" s="14"/>
      <c r="M84" s="14"/>
      <c r="N84" s="14"/>
      <c r="O84" s="27">
        <f t="shared" si="23"/>
        <v>0</v>
      </c>
      <c r="P84" s="14"/>
    </row>
    <row r="85" spans="1:16" s="2" customFormat="1" ht="25.5">
      <c r="A85" s="9" t="s">
        <v>4</v>
      </c>
      <c r="B85" s="15" t="s">
        <v>107</v>
      </c>
      <c r="C85" s="69"/>
      <c r="D85" s="3" t="s">
        <v>120</v>
      </c>
      <c r="E85" s="14">
        <f>F85+I85</f>
        <v>10.112</v>
      </c>
      <c r="F85" s="14">
        <f>G85+H85</f>
        <v>10.112</v>
      </c>
      <c r="G85" s="14">
        <f>10112000/1000000</f>
        <v>10.112</v>
      </c>
      <c r="H85" s="14">
        <v>0</v>
      </c>
      <c r="I85" s="14"/>
      <c r="J85" s="14">
        <f>K85+N85</f>
        <v>0</v>
      </c>
      <c r="K85" s="14">
        <f>L85+M85</f>
        <v>0</v>
      </c>
      <c r="L85" s="14"/>
      <c r="M85" s="14"/>
      <c r="N85" s="14"/>
      <c r="O85" s="27">
        <f t="shared" si="23"/>
        <v>0</v>
      </c>
      <c r="P85" s="14"/>
    </row>
    <row r="86" spans="1:16" s="2" customFormat="1" ht="12.75">
      <c r="A86" s="6">
        <v>4</v>
      </c>
      <c r="B86" s="19" t="s">
        <v>290</v>
      </c>
      <c r="C86" s="43"/>
      <c r="D86" s="25"/>
      <c r="E86" s="13">
        <f>SUM(E87:E88)</f>
        <v>1250</v>
      </c>
      <c r="F86" s="13">
        <f aca="true" t="shared" si="31" ref="F86:N86">SUM(F87:F88)</f>
        <v>0</v>
      </c>
      <c r="G86" s="13">
        <f t="shared" si="31"/>
        <v>0</v>
      </c>
      <c r="H86" s="13">
        <f t="shared" si="31"/>
        <v>0</v>
      </c>
      <c r="I86" s="13">
        <f t="shared" si="31"/>
        <v>1250</v>
      </c>
      <c r="J86" s="13">
        <f t="shared" si="31"/>
        <v>482.22200000000004</v>
      </c>
      <c r="K86" s="13">
        <f t="shared" si="31"/>
        <v>0</v>
      </c>
      <c r="L86" s="13">
        <f t="shared" si="31"/>
        <v>0</v>
      </c>
      <c r="M86" s="13">
        <f t="shared" si="31"/>
        <v>0</v>
      </c>
      <c r="N86" s="13">
        <f t="shared" si="31"/>
        <v>482.22200000000004</v>
      </c>
      <c r="O86" s="26">
        <f t="shared" si="23"/>
        <v>38.577760000000005</v>
      </c>
      <c r="P86" s="13"/>
    </row>
    <row r="87" spans="1:16" s="2" customFormat="1" ht="25.5">
      <c r="A87" s="9" t="s">
        <v>4</v>
      </c>
      <c r="B87" s="15" t="s">
        <v>237</v>
      </c>
      <c r="C87" s="67" t="s">
        <v>290</v>
      </c>
      <c r="D87" s="3">
        <v>8067983</v>
      </c>
      <c r="E87" s="14">
        <f>F87+I87</f>
        <v>550</v>
      </c>
      <c r="F87" s="14">
        <f>G87+H87</f>
        <v>0</v>
      </c>
      <c r="G87" s="14">
        <v>0</v>
      </c>
      <c r="H87" s="14"/>
      <c r="I87" s="14">
        <v>550</v>
      </c>
      <c r="J87" s="14">
        <f>K87+N87</f>
        <v>371.023</v>
      </c>
      <c r="K87" s="14">
        <f>L87+M87</f>
        <v>0</v>
      </c>
      <c r="L87" s="14"/>
      <c r="M87" s="14"/>
      <c r="N87" s="14">
        <v>371.023</v>
      </c>
      <c r="O87" s="27">
        <f t="shared" si="23"/>
        <v>67.45872727272729</v>
      </c>
      <c r="P87" s="13"/>
    </row>
    <row r="88" spans="1:16" s="2" customFormat="1" ht="27" customHeight="1">
      <c r="A88" s="9" t="s">
        <v>4</v>
      </c>
      <c r="B88" s="15" t="s">
        <v>239</v>
      </c>
      <c r="C88" s="69"/>
      <c r="D88" s="3">
        <v>8067984</v>
      </c>
      <c r="E88" s="14">
        <f>F88+I88</f>
        <v>700</v>
      </c>
      <c r="F88" s="14">
        <f>G88+H88</f>
        <v>0</v>
      </c>
      <c r="G88" s="14">
        <v>0</v>
      </c>
      <c r="H88" s="14"/>
      <c r="I88" s="14">
        <v>700</v>
      </c>
      <c r="J88" s="14">
        <f>K88+N88</f>
        <v>111.199</v>
      </c>
      <c r="K88" s="14">
        <f>L88+M88</f>
        <v>0</v>
      </c>
      <c r="L88" s="14"/>
      <c r="M88" s="14"/>
      <c r="N88" s="14">
        <v>111.199</v>
      </c>
      <c r="O88" s="27">
        <f t="shared" si="23"/>
        <v>15.88557142857143</v>
      </c>
      <c r="P88" s="13"/>
    </row>
    <row r="89" spans="1:16" s="2" customFormat="1" ht="27" customHeight="1">
      <c r="A89" s="6">
        <v>5</v>
      </c>
      <c r="B89" s="19" t="s">
        <v>289</v>
      </c>
      <c r="C89" s="44"/>
      <c r="D89" s="25"/>
      <c r="E89" s="13">
        <f>E90</f>
        <v>0.001</v>
      </c>
      <c r="F89" s="13">
        <f aca="true" t="shared" si="32" ref="F89:N89">F90</f>
        <v>0.001</v>
      </c>
      <c r="G89" s="13">
        <f t="shared" si="32"/>
        <v>0.001</v>
      </c>
      <c r="H89" s="13">
        <f t="shared" si="32"/>
        <v>0</v>
      </c>
      <c r="I89" s="13">
        <f t="shared" si="32"/>
        <v>0</v>
      </c>
      <c r="J89" s="13">
        <f t="shared" si="32"/>
        <v>0</v>
      </c>
      <c r="K89" s="13">
        <f t="shared" si="32"/>
        <v>0</v>
      </c>
      <c r="L89" s="13">
        <f t="shared" si="32"/>
        <v>0</v>
      </c>
      <c r="M89" s="13">
        <f t="shared" si="32"/>
        <v>0</v>
      </c>
      <c r="N89" s="13">
        <f t="shared" si="32"/>
        <v>0</v>
      </c>
      <c r="O89" s="26">
        <f t="shared" si="23"/>
        <v>0</v>
      </c>
      <c r="P89" s="13"/>
    </row>
    <row r="90" spans="1:16" ht="27" customHeight="1">
      <c r="A90" s="9" t="s">
        <v>4</v>
      </c>
      <c r="B90" s="15" t="s">
        <v>98</v>
      </c>
      <c r="C90" s="16" t="s">
        <v>289</v>
      </c>
      <c r="D90" s="3" t="s">
        <v>111</v>
      </c>
      <c r="E90" s="14">
        <f>F90+I90</f>
        <v>0.001</v>
      </c>
      <c r="F90" s="14">
        <f>G90+H90</f>
        <v>0.001</v>
      </c>
      <c r="G90" s="14">
        <v>0.001</v>
      </c>
      <c r="H90" s="14">
        <v>0</v>
      </c>
      <c r="I90" s="14"/>
      <c r="J90" s="14">
        <f>K90+N90</f>
        <v>0</v>
      </c>
      <c r="K90" s="14">
        <f>L90+M90</f>
        <v>0</v>
      </c>
      <c r="L90" s="14"/>
      <c r="M90" s="14"/>
      <c r="N90" s="14"/>
      <c r="O90" s="27">
        <f t="shared" si="23"/>
        <v>0</v>
      </c>
      <c r="P90" s="14"/>
    </row>
    <row r="91" spans="1:16" s="2" customFormat="1" ht="27" customHeight="1">
      <c r="A91" s="6">
        <v>6</v>
      </c>
      <c r="B91" s="19" t="s">
        <v>291</v>
      </c>
      <c r="C91" s="20"/>
      <c r="D91" s="25"/>
      <c r="E91" s="13">
        <f>E92</f>
        <v>10.931</v>
      </c>
      <c r="F91" s="13">
        <f aca="true" t="shared" si="33" ref="F91:N91">F92</f>
        <v>10.931</v>
      </c>
      <c r="G91" s="13">
        <f t="shared" si="33"/>
        <v>10.931</v>
      </c>
      <c r="H91" s="13">
        <f t="shared" si="33"/>
        <v>0</v>
      </c>
      <c r="I91" s="13">
        <f t="shared" si="33"/>
        <v>0</v>
      </c>
      <c r="J91" s="13">
        <f t="shared" si="33"/>
        <v>0</v>
      </c>
      <c r="K91" s="13">
        <f t="shared" si="33"/>
        <v>0</v>
      </c>
      <c r="L91" s="13">
        <f t="shared" si="33"/>
        <v>0</v>
      </c>
      <c r="M91" s="13">
        <f t="shared" si="33"/>
        <v>0</v>
      </c>
      <c r="N91" s="13">
        <f t="shared" si="33"/>
        <v>0</v>
      </c>
      <c r="O91" s="26">
        <f t="shared" si="23"/>
        <v>0</v>
      </c>
      <c r="P91" s="13"/>
    </row>
    <row r="92" spans="1:16" ht="27" customHeight="1">
      <c r="A92" s="9" t="s">
        <v>4</v>
      </c>
      <c r="B92" s="15" t="s">
        <v>99</v>
      </c>
      <c r="C92" s="16" t="s">
        <v>291</v>
      </c>
      <c r="D92" s="3" t="s">
        <v>112</v>
      </c>
      <c r="E92" s="14">
        <f>F92+I92</f>
        <v>10.931</v>
      </c>
      <c r="F92" s="14">
        <f>G92+H92</f>
        <v>10.931</v>
      </c>
      <c r="G92" s="14">
        <v>10.931</v>
      </c>
      <c r="H92" s="14">
        <v>0</v>
      </c>
      <c r="I92" s="14"/>
      <c r="J92" s="14">
        <f>K92+N92</f>
        <v>0</v>
      </c>
      <c r="K92" s="14">
        <f>L92+M92</f>
        <v>0</v>
      </c>
      <c r="L92" s="14"/>
      <c r="M92" s="14"/>
      <c r="N92" s="14"/>
      <c r="O92" s="27">
        <f t="shared" si="23"/>
        <v>0</v>
      </c>
      <c r="P92" s="14"/>
    </row>
    <row r="93" spans="1:16" s="2" customFormat="1" ht="27" customHeight="1">
      <c r="A93" s="6">
        <v>7</v>
      </c>
      <c r="B93" s="19" t="s">
        <v>285</v>
      </c>
      <c r="C93" s="41"/>
      <c r="D93" s="25"/>
      <c r="E93" s="13">
        <f>SUM(E94:E95)</f>
        <v>2.883</v>
      </c>
      <c r="F93" s="13">
        <f aca="true" t="shared" si="34" ref="F93:N93">SUM(F94:F95)</f>
        <v>2.883</v>
      </c>
      <c r="G93" s="13">
        <f t="shared" si="34"/>
        <v>2.883</v>
      </c>
      <c r="H93" s="13">
        <f t="shared" si="34"/>
        <v>0</v>
      </c>
      <c r="I93" s="13">
        <f t="shared" si="34"/>
        <v>0</v>
      </c>
      <c r="J93" s="13">
        <f t="shared" si="34"/>
        <v>0</v>
      </c>
      <c r="K93" s="13">
        <f t="shared" si="34"/>
        <v>0</v>
      </c>
      <c r="L93" s="13">
        <f t="shared" si="34"/>
        <v>0</v>
      </c>
      <c r="M93" s="13">
        <f t="shared" si="34"/>
        <v>0</v>
      </c>
      <c r="N93" s="13">
        <f t="shared" si="34"/>
        <v>0</v>
      </c>
      <c r="O93" s="26">
        <f t="shared" si="23"/>
        <v>0</v>
      </c>
      <c r="P93" s="13"/>
    </row>
    <row r="94" spans="1:16" ht="27" customHeight="1">
      <c r="A94" s="9" t="s">
        <v>4</v>
      </c>
      <c r="B94" s="15" t="s">
        <v>106</v>
      </c>
      <c r="C94" s="67" t="s">
        <v>285</v>
      </c>
      <c r="D94" s="3" t="s">
        <v>119</v>
      </c>
      <c r="E94" s="14">
        <f>F94+I94</f>
        <v>0.352</v>
      </c>
      <c r="F94" s="14">
        <f>G94+H94</f>
        <v>0.352</v>
      </c>
      <c r="G94" s="14">
        <f>352000/1000000</f>
        <v>0.352</v>
      </c>
      <c r="H94" s="14">
        <v>0</v>
      </c>
      <c r="I94" s="14"/>
      <c r="J94" s="14">
        <f>K94+N94</f>
        <v>0</v>
      </c>
      <c r="K94" s="14">
        <f>L94+M94</f>
        <v>0</v>
      </c>
      <c r="L94" s="14"/>
      <c r="M94" s="14"/>
      <c r="N94" s="14"/>
      <c r="O94" s="27">
        <f t="shared" si="23"/>
        <v>0</v>
      </c>
      <c r="P94" s="86" t="s">
        <v>315</v>
      </c>
    </row>
    <row r="95" spans="1:16" ht="27" customHeight="1">
      <c r="A95" s="9" t="s">
        <v>4</v>
      </c>
      <c r="B95" s="15" t="s">
        <v>102</v>
      </c>
      <c r="C95" s="69"/>
      <c r="D95" s="3" t="s">
        <v>115</v>
      </c>
      <c r="E95" s="14">
        <f>F95+I95</f>
        <v>2.531</v>
      </c>
      <c r="F95" s="14">
        <f>G95+H95</f>
        <v>2.531</v>
      </c>
      <c r="G95" s="14">
        <f>2531000/1000000</f>
        <v>2.531</v>
      </c>
      <c r="H95" s="14">
        <v>0</v>
      </c>
      <c r="I95" s="14"/>
      <c r="J95" s="14">
        <f>K95+N95</f>
        <v>0</v>
      </c>
      <c r="K95" s="14">
        <f>L95+M95</f>
        <v>0</v>
      </c>
      <c r="L95" s="14"/>
      <c r="M95" s="14"/>
      <c r="N95" s="14"/>
      <c r="O95" s="27">
        <f t="shared" si="23"/>
        <v>0</v>
      </c>
      <c r="P95" s="87"/>
    </row>
    <row r="96" spans="1:16" s="2" customFormat="1" ht="27" customHeight="1">
      <c r="A96" s="6">
        <v>8</v>
      </c>
      <c r="B96" s="19" t="s">
        <v>286</v>
      </c>
      <c r="C96" s="44"/>
      <c r="D96" s="25"/>
      <c r="E96" s="13">
        <f>E97</f>
        <v>600</v>
      </c>
      <c r="F96" s="13">
        <f aca="true" t="shared" si="35" ref="F96:N96">F97</f>
        <v>600</v>
      </c>
      <c r="G96" s="13">
        <f t="shared" si="35"/>
        <v>600</v>
      </c>
      <c r="H96" s="13">
        <f t="shared" si="35"/>
        <v>0</v>
      </c>
      <c r="I96" s="13">
        <f t="shared" si="35"/>
        <v>0</v>
      </c>
      <c r="J96" s="13">
        <f t="shared" si="35"/>
        <v>0</v>
      </c>
      <c r="K96" s="13">
        <f t="shared" si="35"/>
        <v>0</v>
      </c>
      <c r="L96" s="13">
        <f t="shared" si="35"/>
        <v>0</v>
      </c>
      <c r="M96" s="13">
        <f t="shared" si="35"/>
        <v>0</v>
      </c>
      <c r="N96" s="13">
        <f t="shared" si="35"/>
        <v>0</v>
      </c>
      <c r="O96" s="26">
        <f t="shared" si="23"/>
        <v>0</v>
      </c>
      <c r="P96" s="13"/>
    </row>
    <row r="97" spans="1:16" ht="27" customHeight="1">
      <c r="A97" s="9" t="s">
        <v>4</v>
      </c>
      <c r="B97" s="15" t="s">
        <v>105</v>
      </c>
      <c r="C97" s="16" t="s">
        <v>286</v>
      </c>
      <c r="D97" s="3" t="s">
        <v>118</v>
      </c>
      <c r="E97" s="14">
        <f>F97+I97</f>
        <v>600</v>
      </c>
      <c r="F97" s="14">
        <f>G97+H97</f>
        <v>600</v>
      </c>
      <c r="G97" s="14">
        <f>600000000/1000000</f>
        <v>600</v>
      </c>
      <c r="H97" s="14">
        <v>0</v>
      </c>
      <c r="I97" s="14"/>
      <c r="J97" s="14">
        <f>K97+N97</f>
        <v>0</v>
      </c>
      <c r="K97" s="14">
        <f>L97+M97</f>
        <v>0</v>
      </c>
      <c r="L97" s="14"/>
      <c r="M97" s="14"/>
      <c r="N97" s="14"/>
      <c r="O97" s="27">
        <f t="shared" si="23"/>
        <v>0</v>
      </c>
      <c r="P97" s="14"/>
    </row>
    <row r="98" spans="1:16" s="2" customFormat="1" ht="51.75">
      <c r="A98" s="51">
        <v>3</v>
      </c>
      <c r="B98" s="52" t="s">
        <v>125</v>
      </c>
      <c r="C98" s="53"/>
      <c r="D98" s="54"/>
      <c r="E98" s="55">
        <f aca="true" t="shared" si="36" ref="E98:N98">E99+E114+E120+E121+E179+E187+E204</f>
        <v>131461.973541</v>
      </c>
      <c r="F98" s="55">
        <f t="shared" si="36"/>
        <v>41702.978353</v>
      </c>
      <c r="G98" s="55">
        <f t="shared" si="36"/>
        <v>29495.578676</v>
      </c>
      <c r="H98" s="55">
        <f t="shared" si="36"/>
        <v>12207.399677</v>
      </c>
      <c r="I98" s="55">
        <f t="shared" si="36"/>
        <v>89758.995188</v>
      </c>
      <c r="J98" s="55">
        <f t="shared" si="36"/>
        <v>26588.226181</v>
      </c>
      <c r="K98" s="55">
        <f t="shared" si="36"/>
        <v>6530.409593</v>
      </c>
      <c r="L98" s="55">
        <f t="shared" si="36"/>
        <v>91.749</v>
      </c>
      <c r="M98" s="55">
        <f t="shared" si="36"/>
        <v>6438.6605930000005</v>
      </c>
      <c r="N98" s="55">
        <f t="shared" si="36"/>
        <v>20057.816588</v>
      </c>
      <c r="O98" s="56">
        <f t="shared" si="23"/>
        <v>20.225031972996916</v>
      </c>
      <c r="P98" s="55">
        <f>P99+P114+P120+P121+P179+P187+P204</f>
        <v>0</v>
      </c>
    </row>
    <row r="99" spans="1:16" ht="25.5">
      <c r="A99" s="46" t="s">
        <v>8</v>
      </c>
      <c r="B99" s="47" t="s">
        <v>151</v>
      </c>
      <c r="C99" s="48"/>
      <c r="D99" s="35"/>
      <c r="E99" s="30">
        <f>SUM(E100:E109)</f>
        <v>4917.913287999998</v>
      </c>
      <c r="F99" s="30">
        <f aca="true" t="shared" si="37" ref="F99:N99">SUM(F100:F109)</f>
        <v>1516.9141</v>
      </c>
      <c r="G99" s="30">
        <f t="shared" si="37"/>
        <v>390.61109999999996</v>
      </c>
      <c r="H99" s="30">
        <f t="shared" si="37"/>
        <v>1126.3029999999999</v>
      </c>
      <c r="I99" s="30">
        <f>SUM(I100:I109)</f>
        <v>3400.9991879999984</v>
      </c>
      <c r="J99" s="30">
        <f t="shared" si="37"/>
        <v>1087.7376</v>
      </c>
      <c r="K99" s="30">
        <f t="shared" si="37"/>
        <v>215.50259999999997</v>
      </c>
      <c r="L99" s="30">
        <f t="shared" si="37"/>
        <v>91.749</v>
      </c>
      <c r="M99" s="30">
        <f t="shared" si="37"/>
        <v>123.7536</v>
      </c>
      <c r="N99" s="30">
        <f t="shared" si="37"/>
        <v>872.235</v>
      </c>
      <c r="O99" s="31">
        <f t="shared" si="23"/>
        <v>22.117868622331034</v>
      </c>
      <c r="P99" s="30">
        <f>SUM(P100:P113)</f>
        <v>0</v>
      </c>
    </row>
    <row r="100" spans="1:16" ht="39">
      <c r="A100" s="9">
        <v>1</v>
      </c>
      <c r="B100" s="15" t="s">
        <v>15</v>
      </c>
      <c r="C100" s="16" t="s">
        <v>238</v>
      </c>
      <c r="D100" s="3" t="s">
        <v>9</v>
      </c>
      <c r="E100" s="14">
        <f aca="true" t="shared" si="38" ref="E100:E177">F100+I100</f>
        <v>198.46</v>
      </c>
      <c r="F100" s="14">
        <f>G100+H100</f>
        <v>0</v>
      </c>
      <c r="G100" s="14">
        <v>0</v>
      </c>
      <c r="H100" s="14">
        <v>0</v>
      </c>
      <c r="I100" s="14">
        <v>198.46</v>
      </c>
      <c r="J100" s="14">
        <f aca="true" t="shared" si="39" ref="J100:J113">K100+N100</f>
        <v>0</v>
      </c>
      <c r="K100" s="14">
        <f>L100+M100</f>
        <v>0</v>
      </c>
      <c r="L100" s="14"/>
      <c r="M100" s="14"/>
      <c r="N100" s="14"/>
      <c r="O100" s="27">
        <f t="shared" si="23"/>
        <v>0</v>
      </c>
      <c r="P100" s="77" t="s">
        <v>249</v>
      </c>
    </row>
    <row r="101" spans="1:16" ht="39">
      <c r="A101" s="9">
        <v>2</v>
      </c>
      <c r="B101" s="15" t="s">
        <v>221</v>
      </c>
      <c r="C101" s="16" t="s">
        <v>244</v>
      </c>
      <c r="D101" s="3" t="s">
        <v>10</v>
      </c>
      <c r="E101" s="14">
        <f t="shared" si="38"/>
        <v>238.072</v>
      </c>
      <c r="F101" s="14">
        <f aca="true" t="shared" si="40" ref="F101:F119">G101+H101</f>
        <v>158.692</v>
      </c>
      <c r="G101" s="14">
        <f>158692000/1000000</f>
        <v>158.692</v>
      </c>
      <c r="H101" s="14">
        <v>0</v>
      </c>
      <c r="I101" s="14">
        <v>79.38</v>
      </c>
      <c r="J101" s="14">
        <f t="shared" si="39"/>
        <v>0</v>
      </c>
      <c r="K101" s="14">
        <f aca="true" t="shared" si="41" ref="K101:K113">L101+M101</f>
        <v>0</v>
      </c>
      <c r="L101" s="14"/>
      <c r="M101" s="14"/>
      <c r="N101" s="14"/>
      <c r="O101" s="27">
        <f t="shared" si="23"/>
        <v>0</v>
      </c>
      <c r="P101" s="78"/>
    </row>
    <row r="102" spans="1:16" ht="39">
      <c r="A102" s="9">
        <v>3</v>
      </c>
      <c r="B102" s="15" t="s">
        <v>16</v>
      </c>
      <c r="C102" s="16" t="s">
        <v>293</v>
      </c>
      <c r="D102" s="3" t="s">
        <v>11</v>
      </c>
      <c r="E102" s="14">
        <f t="shared" si="38"/>
        <v>39.454955999999946</v>
      </c>
      <c r="F102" s="14">
        <f t="shared" si="40"/>
        <v>0.001</v>
      </c>
      <c r="G102" s="14">
        <f>1000/1000000</f>
        <v>0.001</v>
      </c>
      <c r="H102" s="14">
        <v>0</v>
      </c>
      <c r="I102" s="14">
        <v>39.45395599999995</v>
      </c>
      <c r="J102" s="14">
        <f t="shared" si="39"/>
        <v>0</v>
      </c>
      <c r="K102" s="14">
        <f t="shared" si="41"/>
        <v>0</v>
      </c>
      <c r="L102" s="14"/>
      <c r="M102" s="14"/>
      <c r="N102" s="14"/>
      <c r="O102" s="27">
        <f t="shared" si="23"/>
        <v>0</v>
      </c>
      <c r="P102" s="78"/>
    </row>
    <row r="103" spans="1:16" ht="39">
      <c r="A103" s="9">
        <v>6</v>
      </c>
      <c r="B103" s="15" t="s">
        <v>222</v>
      </c>
      <c r="C103" s="16" t="s">
        <v>294</v>
      </c>
      <c r="D103" s="3" t="s">
        <v>12</v>
      </c>
      <c r="E103" s="14">
        <f t="shared" si="38"/>
        <v>198.45</v>
      </c>
      <c r="F103" s="14">
        <f t="shared" si="40"/>
        <v>0</v>
      </c>
      <c r="G103" s="14">
        <v>0</v>
      </c>
      <c r="H103" s="14">
        <v>0</v>
      </c>
      <c r="I103" s="14">
        <v>198.45</v>
      </c>
      <c r="J103" s="14">
        <f t="shared" si="39"/>
        <v>0</v>
      </c>
      <c r="K103" s="14">
        <f t="shared" si="41"/>
        <v>0</v>
      </c>
      <c r="L103" s="14"/>
      <c r="M103" s="14"/>
      <c r="N103" s="14"/>
      <c r="O103" s="27">
        <f t="shared" si="23"/>
        <v>0</v>
      </c>
      <c r="P103" s="78"/>
    </row>
    <row r="104" spans="1:16" ht="39">
      <c r="A104" s="9">
        <v>7</v>
      </c>
      <c r="B104" s="15" t="s">
        <v>14</v>
      </c>
      <c r="C104" s="16" t="s">
        <v>227</v>
      </c>
      <c r="D104" s="3" t="s">
        <v>13</v>
      </c>
      <c r="E104" s="14">
        <f t="shared" si="38"/>
        <v>119.11000000000001</v>
      </c>
      <c r="F104" s="14">
        <f t="shared" si="40"/>
        <v>0</v>
      </c>
      <c r="G104" s="14">
        <v>0</v>
      </c>
      <c r="H104" s="14">
        <v>0</v>
      </c>
      <c r="I104" s="14">
        <v>119.11000000000001</v>
      </c>
      <c r="J104" s="14">
        <f t="shared" si="39"/>
        <v>0</v>
      </c>
      <c r="K104" s="14">
        <f t="shared" si="41"/>
        <v>0</v>
      </c>
      <c r="L104" s="14"/>
      <c r="M104" s="14"/>
      <c r="N104" s="14"/>
      <c r="O104" s="27">
        <f t="shared" si="23"/>
        <v>0</v>
      </c>
      <c r="P104" s="78"/>
    </row>
    <row r="105" spans="1:16" ht="39">
      <c r="A105" s="9">
        <v>8</v>
      </c>
      <c r="B105" s="15" t="s">
        <v>18</v>
      </c>
      <c r="C105" s="16" t="s">
        <v>295</v>
      </c>
      <c r="D105" s="3" t="s">
        <v>17</v>
      </c>
      <c r="E105" s="14">
        <f t="shared" si="38"/>
        <v>198.45</v>
      </c>
      <c r="F105" s="14">
        <f t="shared" si="40"/>
        <v>0</v>
      </c>
      <c r="G105" s="14">
        <v>0</v>
      </c>
      <c r="H105" s="14">
        <v>0</v>
      </c>
      <c r="I105" s="14">
        <v>198.45</v>
      </c>
      <c r="J105" s="14">
        <f t="shared" si="39"/>
        <v>0</v>
      </c>
      <c r="K105" s="14">
        <f t="shared" si="41"/>
        <v>0</v>
      </c>
      <c r="L105" s="14"/>
      <c r="M105" s="14"/>
      <c r="N105" s="14"/>
      <c r="O105" s="27">
        <f t="shared" si="23"/>
        <v>0</v>
      </c>
      <c r="P105" s="78"/>
    </row>
    <row r="106" spans="1:16" ht="39">
      <c r="A106" s="9">
        <v>9</v>
      </c>
      <c r="B106" s="15" t="s">
        <v>223</v>
      </c>
      <c r="C106" s="16" t="s">
        <v>235</v>
      </c>
      <c r="D106" s="3" t="s">
        <v>19</v>
      </c>
      <c r="E106" s="14">
        <f t="shared" si="38"/>
        <v>0.32</v>
      </c>
      <c r="F106" s="14">
        <f t="shared" si="40"/>
        <v>0.32</v>
      </c>
      <c r="G106" s="14">
        <f>320000/1000000</f>
        <v>0.32</v>
      </c>
      <c r="H106" s="14">
        <v>0</v>
      </c>
      <c r="I106" s="14"/>
      <c r="J106" s="14">
        <f t="shared" si="39"/>
        <v>0</v>
      </c>
      <c r="K106" s="14">
        <f t="shared" si="41"/>
        <v>0</v>
      </c>
      <c r="L106" s="14"/>
      <c r="M106" s="14"/>
      <c r="N106" s="14"/>
      <c r="O106" s="27">
        <f t="shared" si="23"/>
        <v>0</v>
      </c>
      <c r="P106" s="78"/>
    </row>
    <row r="107" spans="1:16" ht="39">
      <c r="A107" s="9">
        <v>10</v>
      </c>
      <c r="B107" s="15" t="s">
        <v>21</v>
      </c>
      <c r="C107" s="16" t="s">
        <v>245</v>
      </c>
      <c r="D107" s="3" t="s">
        <v>20</v>
      </c>
      <c r="E107" s="14">
        <f t="shared" si="38"/>
        <v>238.12083199999998</v>
      </c>
      <c r="F107" s="14">
        <f t="shared" si="40"/>
        <v>79.37</v>
      </c>
      <c r="G107" s="14">
        <f>79370000/1000000</f>
        <v>79.37</v>
      </c>
      <c r="H107" s="14">
        <v>0</v>
      </c>
      <c r="I107" s="14">
        <v>158.75083199999997</v>
      </c>
      <c r="J107" s="14">
        <f t="shared" si="39"/>
        <v>0</v>
      </c>
      <c r="K107" s="14">
        <f t="shared" si="41"/>
        <v>0</v>
      </c>
      <c r="L107" s="14"/>
      <c r="M107" s="14"/>
      <c r="N107" s="14"/>
      <c r="O107" s="27">
        <f t="shared" si="23"/>
        <v>0</v>
      </c>
      <c r="P107" s="78"/>
    </row>
    <row r="108" spans="1:16" ht="39">
      <c r="A108" s="9">
        <v>11</v>
      </c>
      <c r="B108" s="15" t="s">
        <v>23</v>
      </c>
      <c r="C108" s="16" t="s">
        <v>296</v>
      </c>
      <c r="D108" s="3" t="s">
        <v>22</v>
      </c>
      <c r="E108" s="14">
        <f t="shared" si="38"/>
        <v>238.36</v>
      </c>
      <c r="F108" s="14">
        <f t="shared" si="40"/>
        <v>238.36</v>
      </c>
      <c r="G108" s="14">
        <f>119070000/1000000</f>
        <v>119.07</v>
      </c>
      <c r="H108" s="14">
        <f>119290000/1000000</f>
        <v>119.29</v>
      </c>
      <c r="I108" s="14"/>
      <c r="J108" s="14">
        <f t="shared" si="39"/>
        <v>211.039</v>
      </c>
      <c r="K108" s="14">
        <f t="shared" si="41"/>
        <v>211.039</v>
      </c>
      <c r="L108" s="14">
        <v>91.749</v>
      </c>
      <c r="M108" s="14">
        <v>119.29</v>
      </c>
      <c r="N108" s="14"/>
      <c r="O108" s="27">
        <f t="shared" si="23"/>
        <v>88.53792582648094</v>
      </c>
      <c r="P108" s="79"/>
    </row>
    <row r="109" spans="1:16" ht="36.75" customHeight="1">
      <c r="A109" s="9">
        <v>12</v>
      </c>
      <c r="B109" s="15" t="s">
        <v>241</v>
      </c>
      <c r="C109" s="22"/>
      <c r="D109" s="3"/>
      <c r="E109" s="14">
        <f>SUM(E110:E113)</f>
        <v>3449.1154999999985</v>
      </c>
      <c r="F109" s="14">
        <f aca="true" t="shared" si="42" ref="F109:N109">SUM(F110:F113)</f>
        <v>1040.1711</v>
      </c>
      <c r="G109" s="14">
        <f t="shared" si="42"/>
        <v>33.158100000000005</v>
      </c>
      <c r="H109" s="14">
        <f t="shared" si="42"/>
        <v>1007.0129999999999</v>
      </c>
      <c r="I109" s="14">
        <f t="shared" si="42"/>
        <v>2408.9443999999985</v>
      </c>
      <c r="J109" s="14">
        <f t="shared" si="42"/>
        <v>876.6986</v>
      </c>
      <c r="K109" s="14">
        <f t="shared" si="42"/>
        <v>4.4636</v>
      </c>
      <c r="L109" s="14">
        <f t="shared" si="42"/>
        <v>0</v>
      </c>
      <c r="M109" s="14">
        <f t="shared" si="42"/>
        <v>4.4636</v>
      </c>
      <c r="N109" s="14">
        <f t="shared" si="42"/>
        <v>872.235</v>
      </c>
      <c r="O109" s="27">
        <f t="shared" si="23"/>
        <v>25.418070226990093</v>
      </c>
      <c r="P109" s="23"/>
    </row>
    <row r="110" spans="1:16" ht="25.5">
      <c r="A110" s="9" t="s">
        <v>4</v>
      </c>
      <c r="B110" s="15" t="s">
        <v>128</v>
      </c>
      <c r="C110" s="67" t="s">
        <v>241</v>
      </c>
      <c r="D110" s="3" t="s">
        <v>177</v>
      </c>
      <c r="E110" s="14">
        <f t="shared" si="38"/>
        <v>16.35709999999972</v>
      </c>
      <c r="F110" s="14">
        <f t="shared" si="40"/>
        <v>0</v>
      </c>
      <c r="G110" s="14">
        <v>0</v>
      </c>
      <c r="H110" s="14">
        <v>0</v>
      </c>
      <c r="I110" s="14">
        <v>16.35709999999972</v>
      </c>
      <c r="J110" s="14">
        <f t="shared" si="39"/>
        <v>0</v>
      </c>
      <c r="K110" s="14">
        <f t="shared" si="41"/>
        <v>0</v>
      </c>
      <c r="L110" s="14"/>
      <c r="M110" s="14"/>
      <c r="N110" s="14"/>
      <c r="O110" s="27">
        <f t="shared" si="23"/>
        <v>0</v>
      </c>
      <c r="P110" s="14"/>
    </row>
    <row r="111" spans="1:16" ht="25.5">
      <c r="A111" s="9" t="s">
        <v>4</v>
      </c>
      <c r="B111" s="15" t="s">
        <v>129</v>
      </c>
      <c r="C111" s="68"/>
      <c r="D111" s="3" t="s">
        <v>178</v>
      </c>
      <c r="E111" s="14">
        <f t="shared" si="38"/>
        <v>138.37119999999965</v>
      </c>
      <c r="F111" s="14">
        <f t="shared" si="40"/>
        <v>16.1751</v>
      </c>
      <c r="G111" s="14">
        <f>16175100/1000000</f>
        <v>16.1751</v>
      </c>
      <c r="H111" s="14">
        <v>0</v>
      </c>
      <c r="I111" s="14">
        <v>122.19609999999966</v>
      </c>
      <c r="J111" s="14">
        <f t="shared" si="39"/>
        <v>0</v>
      </c>
      <c r="K111" s="14">
        <f t="shared" si="41"/>
        <v>0</v>
      </c>
      <c r="L111" s="14"/>
      <c r="M111" s="14"/>
      <c r="N111" s="14"/>
      <c r="O111" s="27">
        <f t="shared" si="23"/>
        <v>0</v>
      </c>
      <c r="P111" s="14"/>
    </row>
    <row r="112" spans="1:16" ht="25.5">
      <c r="A112" s="9" t="s">
        <v>4</v>
      </c>
      <c r="B112" s="15" t="s">
        <v>130</v>
      </c>
      <c r="C112" s="68"/>
      <c r="D112" s="12" t="s">
        <v>179</v>
      </c>
      <c r="E112" s="14">
        <f t="shared" si="38"/>
        <v>1474.0210999999995</v>
      </c>
      <c r="F112" s="14">
        <f t="shared" si="40"/>
        <v>620.6529999999999</v>
      </c>
      <c r="G112" s="14">
        <f>16983000/1000000</f>
        <v>16.983</v>
      </c>
      <c r="H112" s="14">
        <f>603670000/1000000</f>
        <v>603.67</v>
      </c>
      <c r="I112" s="14">
        <v>853.3680999999997</v>
      </c>
      <c r="J112" s="14">
        <f t="shared" si="39"/>
        <v>0</v>
      </c>
      <c r="K112" s="14">
        <f t="shared" si="41"/>
        <v>0</v>
      </c>
      <c r="L112" s="14"/>
      <c r="M112" s="14"/>
      <c r="N112" s="14"/>
      <c r="O112" s="27">
        <f t="shared" si="23"/>
        <v>0</v>
      </c>
      <c r="P112" s="14"/>
    </row>
    <row r="113" spans="1:16" ht="25.5">
      <c r="A113" s="9" t="s">
        <v>4</v>
      </c>
      <c r="B113" s="15" t="s">
        <v>131</v>
      </c>
      <c r="C113" s="69"/>
      <c r="D113" s="12" t="s">
        <v>180</v>
      </c>
      <c r="E113" s="14">
        <f t="shared" si="38"/>
        <v>1820.3660999999997</v>
      </c>
      <c r="F113" s="14">
        <f t="shared" si="40"/>
        <v>403.343</v>
      </c>
      <c r="G113" s="14">
        <v>0</v>
      </c>
      <c r="H113" s="14">
        <f>403343000/1000000</f>
        <v>403.343</v>
      </c>
      <c r="I113" s="14">
        <v>1417.0230999999997</v>
      </c>
      <c r="J113" s="14">
        <f t="shared" si="39"/>
        <v>876.6986</v>
      </c>
      <c r="K113" s="14">
        <f t="shared" si="41"/>
        <v>4.4636</v>
      </c>
      <c r="L113" s="14"/>
      <c r="M113" s="14">
        <v>4.4636</v>
      </c>
      <c r="N113" s="14">
        <v>872.235</v>
      </c>
      <c r="O113" s="27">
        <f t="shared" si="23"/>
        <v>48.16056506435712</v>
      </c>
      <c r="P113" s="14"/>
    </row>
    <row r="114" spans="1:16" ht="25.5">
      <c r="A114" s="46" t="s">
        <v>8</v>
      </c>
      <c r="B114" s="47" t="s">
        <v>150</v>
      </c>
      <c r="C114" s="48"/>
      <c r="D114" s="35" t="s">
        <v>181</v>
      </c>
      <c r="E114" s="30">
        <f>SUM(E115:E116)</f>
        <v>34466.216106</v>
      </c>
      <c r="F114" s="30">
        <f aca="true" t="shared" si="43" ref="F114:M114">SUM(F115:F116)</f>
        <v>19192.216106</v>
      </c>
      <c r="G114" s="30">
        <f t="shared" si="43"/>
        <v>10660.670429</v>
      </c>
      <c r="H114" s="30">
        <f t="shared" si="43"/>
        <v>8531.545677</v>
      </c>
      <c r="I114" s="30">
        <f t="shared" si="43"/>
        <v>15274</v>
      </c>
      <c r="J114" s="30">
        <f t="shared" si="43"/>
        <v>4120.337993</v>
      </c>
      <c r="K114" s="30">
        <f t="shared" si="43"/>
        <v>3765.355993</v>
      </c>
      <c r="L114" s="30">
        <f t="shared" si="43"/>
        <v>0</v>
      </c>
      <c r="M114" s="30">
        <f t="shared" si="43"/>
        <v>3765.355993</v>
      </c>
      <c r="N114" s="30">
        <f>SUM(N115:N116)</f>
        <v>354.982</v>
      </c>
      <c r="O114" s="31">
        <f t="shared" si="23"/>
        <v>11.954715250226489</v>
      </c>
      <c r="P114" s="30"/>
    </row>
    <row r="115" spans="1:16" ht="28.5" customHeight="1">
      <c r="A115" s="9">
        <v>1</v>
      </c>
      <c r="B115" s="15" t="s">
        <v>247</v>
      </c>
      <c r="C115" s="16" t="s">
        <v>248</v>
      </c>
      <c r="D115" s="3">
        <v>8053660</v>
      </c>
      <c r="E115" s="14">
        <f t="shared" si="38"/>
        <v>1620</v>
      </c>
      <c r="F115" s="14">
        <f t="shared" si="40"/>
        <v>0</v>
      </c>
      <c r="G115" s="13"/>
      <c r="H115" s="13"/>
      <c r="I115" s="14">
        <v>1620</v>
      </c>
      <c r="J115" s="14">
        <f>K115+N115</f>
        <v>0</v>
      </c>
      <c r="K115" s="14">
        <f>L115+M115</f>
        <v>0</v>
      </c>
      <c r="L115" s="13"/>
      <c r="M115" s="13"/>
      <c r="N115" s="14"/>
      <c r="O115" s="27">
        <f t="shared" si="23"/>
        <v>0</v>
      </c>
      <c r="P115" s="13"/>
    </row>
    <row r="116" spans="1:16" ht="28.5" customHeight="1">
      <c r="A116" s="9">
        <v>2</v>
      </c>
      <c r="B116" s="15" t="s">
        <v>241</v>
      </c>
      <c r="C116" s="22"/>
      <c r="D116" s="3"/>
      <c r="E116" s="14">
        <f>SUM(E117:E119)</f>
        <v>32846.216106</v>
      </c>
      <c r="F116" s="14">
        <f aca="true" t="shared" si="44" ref="F116:N116">SUM(F117:F119)</f>
        <v>19192.216106</v>
      </c>
      <c r="G116" s="14">
        <f t="shared" si="44"/>
        <v>10660.670429</v>
      </c>
      <c r="H116" s="14">
        <f t="shared" si="44"/>
        <v>8531.545677</v>
      </c>
      <c r="I116" s="14">
        <f t="shared" si="44"/>
        <v>13654</v>
      </c>
      <c r="J116" s="14">
        <f t="shared" si="44"/>
        <v>4120.337993</v>
      </c>
      <c r="K116" s="14">
        <f t="shared" si="44"/>
        <v>3765.355993</v>
      </c>
      <c r="L116" s="14">
        <f t="shared" si="44"/>
        <v>0</v>
      </c>
      <c r="M116" s="14">
        <f t="shared" si="44"/>
        <v>3765.355993</v>
      </c>
      <c r="N116" s="14">
        <f t="shared" si="44"/>
        <v>354.982</v>
      </c>
      <c r="O116" s="27">
        <f t="shared" si="23"/>
        <v>12.544330767668974</v>
      </c>
      <c r="P116" s="13"/>
    </row>
    <row r="117" spans="1:16" ht="28.5" customHeight="1">
      <c r="A117" s="9" t="s">
        <v>4</v>
      </c>
      <c r="B117" s="15" t="s">
        <v>132</v>
      </c>
      <c r="C117" s="67" t="s">
        <v>241</v>
      </c>
      <c r="D117" s="12" t="s">
        <v>182</v>
      </c>
      <c r="E117" s="14">
        <f t="shared" si="38"/>
        <v>9652.082471</v>
      </c>
      <c r="F117" s="14">
        <f t="shared" si="40"/>
        <v>4469.082471</v>
      </c>
      <c r="G117" s="14">
        <f>3868477787/1000000</f>
        <v>3868.477787</v>
      </c>
      <c r="H117" s="14">
        <f>600604684/1000000</f>
        <v>600.604684</v>
      </c>
      <c r="I117" s="14">
        <v>5183</v>
      </c>
      <c r="J117" s="14">
        <f>K117+N117</f>
        <v>354.982</v>
      </c>
      <c r="K117" s="14">
        <f>L117+M117</f>
        <v>0</v>
      </c>
      <c r="L117" s="14"/>
      <c r="M117" s="14"/>
      <c r="N117" s="14">
        <v>354.982</v>
      </c>
      <c r="O117" s="27">
        <f t="shared" si="23"/>
        <v>3.6777762836833934</v>
      </c>
      <c r="P117" s="14"/>
    </row>
    <row r="118" spans="1:16" ht="28.5" customHeight="1">
      <c r="A118" s="9" t="s">
        <v>4</v>
      </c>
      <c r="B118" s="15" t="s">
        <v>133</v>
      </c>
      <c r="C118" s="68"/>
      <c r="D118" s="12" t="s">
        <v>183</v>
      </c>
      <c r="E118" s="14">
        <f t="shared" si="38"/>
        <v>18903.447635</v>
      </c>
      <c r="F118" s="14">
        <f t="shared" si="40"/>
        <v>11432.447635</v>
      </c>
      <c r="G118" s="14">
        <f>3501506642/1000000</f>
        <v>3501.506642</v>
      </c>
      <c r="H118" s="14">
        <f>7930940993/1000000</f>
        <v>7930.940993</v>
      </c>
      <c r="I118" s="14">
        <v>7471</v>
      </c>
      <c r="J118" s="14">
        <f>K118+N118</f>
        <v>3765.355993</v>
      </c>
      <c r="K118" s="14">
        <f>L118+M118</f>
        <v>3765.355993</v>
      </c>
      <c r="L118" s="14"/>
      <c r="M118" s="14">
        <v>3765.355993</v>
      </c>
      <c r="N118" s="14"/>
      <c r="O118" s="27">
        <f t="shared" si="23"/>
        <v>19.9188849870348</v>
      </c>
      <c r="P118" s="14"/>
    </row>
    <row r="119" spans="1:16" ht="28.5" customHeight="1">
      <c r="A119" s="9" t="s">
        <v>4</v>
      </c>
      <c r="B119" s="15" t="s">
        <v>134</v>
      </c>
      <c r="C119" s="69"/>
      <c r="D119" s="3" t="s">
        <v>184</v>
      </c>
      <c r="E119" s="14">
        <f t="shared" si="38"/>
        <v>4290.686</v>
      </c>
      <c r="F119" s="14">
        <f t="shared" si="40"/>
        <v>3290.686</v>
      </c>
      <c r="G119" s="14">
        <f>3290686000/1000000</f>
        <v>3290.686</v>
      </c>
      <c r="H119" s="14">
        <v>0</v>
      </c>
      <c r="I119" s="14">
        <v>1000</v>
      </c>
      <c r="J119" s="14">
        <f>K119+N119</f>
        <v>0</v>
      </c>
      <c r="K119" s="14">
        <f>L119+M119</f>
        <v>0</v>
      </c>
      <c r="L119" s="14"/>
      <c r="M119" s="14"/>
      <c r="N119" s="14"/>
      <c r="O119" s="27">
        <f t="shared" si="23"/>
        <v>0</v>
      </c>
      <c r="P119" s="14"/>
    </row>
    <row r="120" spans="1:16" s="2" customFormat="1" ht="27" customHeight="1">
      <c r="A120" s="32" t="s">
        <v>8</v>
      </c>
      <c r="B120" s="47" t="s">
        <v>250</v>
      </c>
      <c r="C120" s="48" t="s">
        <v>307</v>
      </c>
      <c r="D120" s="49"/>
      <c r="E120" s="30">
        <f>F120+I120</f>
        <v>24280</v>
      </c>
      <c r="F120" s="30">
        <f>G120+H120</f>
        <v>14966</v>
      </c>
      <c r="G120" s="30">
        <f>14966000000/1000000</f>
        <v>14966</v>
      </c>
      <c r="H120" s="30"/>
      <c r="I120" s="30">
        <v>9314</v>
      </c>
      <c r="J120" s="30">
        <f>K120+N120</f>
        <v>0</v>
      </c>
      <c r="K120" s="30">
        <f>L120+M120</f>
        <v>0</v>
      </c>
      <c r="L120" s="30"/>
      <c r="M120" s="30"/>
      <c r="N120" s="30"/>
      <c r="O120" s="31">
        <f t="shared" si="23"/>
        <v>0</v>
      </c>
      <c r="P120" s="30"/>
    </row>
    <row r="121" spans="1:16" ht="51.75">
      <c r="A121" s="32" t="s">
        <v>8</v>
      </c>
      <c r="B121" s="47" t="s">
        <v>149</v>
      </c>
      <c r="C121" s="48"/>
      <c r="D121" s="29" t="s">
        <v>181</v>
      </c>
      <c r="E121" s="30">
        <f>E122+E125+E129+E135+E139+E142+E147+E153+E157+E162+E168+E174</f>
        <v>47238.701010000004</v>
      </c>
      <c r="F121" s="30">
        <f aca="true" t="shared" si="45" ref="F121:N121">F122+F125+F129+F135+F139+F142+F147+F153+F157+F162+F168+F174</f>
        <v>2864.70501</v>
      </c>
      <c r="G121" s="30">
        <f t="shared" si="45"/>
        <v>1261.3050099999996</v>
      </c>
      <c r="H121" s="30">
        <f t="shared" si="45"/>
        <v>1603.4</v>
      </c>
      <c r="I121" s="30">
        <f t="shared" si="45"/>
        <v>44373.996</v>
      </c>
      <c r="J121" s="30">
        <f t="shared" si="45"/>
        <v>10254.106588</v>
      </c>
      <c r="K121" s="30">
        <f t="shared" si="45"/>
        <v>1603.4</v>
      </c>
      <c r="L121" s="30">
        <f t="shared" si="45"/>
        <v>0</v>
      </c>
      <c r="M121" s="30">
        <f t="shared" si="45"/>
        <v>1603.4</v>
      </c>
      <c r="N121" s="30">
        <f t="shared" si="45"/>
        <v>8650.706588</v>
      </c>
      <c r="O121" s="31">
        <f t="shared" si="23"/>
        <v>21.707003725249134</v>
      </c>
      <c r="P121" s="30"/>
    </row>
    <row r="122" spans="1:16" ht="24.75" customHeight="1">
      <c r="A122" s="6">
        <v>1</v>
      </c>
      <c r="B122" s="19" t="s">
        <v>241</v>
      </c>
      <c r="C122" s="41"/>
      <c r="D122" s="12"/>
      <c r="E122" s="13">
        <f>SUM(E123:E124)</f>
        <v>8946.4</v>
      </c>
      <c r="F122" s="13">
        <f aca="true" t="shared" si="46" ref="F122:N122">SUM(F123:F124)</f>
        <v>1603.4</v>
      </c>
      <c r="G122" s="13">
        <f t="shared" si="46"/>
        <v>0</v>
      </c>
      <c r="H122" s="13">
        <f t="shared" si="46"/>
        <v>1603.4</v>
      </c>
      <c r="I122" s="13">
        <f t="shared" si="46"/>
        <v>7343</v>
      </c>
      <c r="J122" s="13">
        <f t="shared" si="46"/>
        <v>7636.4</v>
      </c>
      <c r="K122" s="13">
        <f t="shared" si="46"/>
        <v>1603.4</v>
      </c>
      <c r="L122" s="13">
        <f t="shared" si="46"/>
        <v>0</v>
      </c>
      <c r="M122" s="13">
        <f t="shared" si="46"/>
        <v>1603.4</v>
      </c>
      <c r="N122" s="13">
        <f t="shared" si="46"/>
        <v>6033</v>
      </c>
      <c r="O122" s="26">
        <f t="shared" si="23"/>
        <v>85.35723866583207</v>
      </c>
      <c r="P122" s="13"/>
    </row>
    <row r="123" spans="1:16" ht="27.75" customHeight="1">
      <c r="A123" s="9" t="s">
        <v>4</v>
      </c>
      <c r="B123" s="15" t="s">
        <v>251</v>
      </c>
      <c r="C123" s="67" t="s">
        <v>241</v>
      </c>
      <c r="D123" s="12">
        <v>8064868</v>
      </c>
      <c r="E123" s="14">
        <f t="shared" si="38"/>
        <v>1310</v>
      </c>
      <c r="F123" s="13">
        <f>G123+H123</f>
        <v>0</v>
      </c>
      <c r="G123" s="13"/>
      <c r="H123" s="13"/>
      <c r="I123" s="14">
        <v>1310</v>
      </c>
      <c r="J123" s="14">
        <f aca="true" t="shared" si="47" ref="J123:J177">K123+N123</f>
        <v>0</v>
      </c>
      <c r="K123" s="13">
        <f>L123+M123</f>
        <v>0</v>
      </c>
      <c r="L123" s="13"/>
      <c r="M123" s="13"/>
      <c r="N123" s="14"/>
      <c r="O123" s="27">
        <f t="shared" si="23"/>
        <v>0</v>
      </c>
      <c r="P123" s="13"/>
    </row>
    <row r="124" spans="1:16" ht="27.75" customHeight="1">
      <c r="A124" s="9" t="s">
        <v>4</v>
      </c>
      <c r="B124" s="15" t="s">
        <v>145</v>
      </c>
      <c r="C124" s="69"/>
      <c r="D124" s="3" t="s">
        <v>195</v>
      </c>
      <c r="E124" s="14">
        <f>F124+I124</f>
        <v>7636.4</v>
      </c>
      <c r="F124" s="14">
        <f>G124+H124</f>
        <v>1603.4</v>
      </c>
      <c r="G124" s="14">
        <v>0</v>
      </c>
      <c r="H124" s="14">
        <f>1603400000/1000000</f>
        <v>1603.4</v>
      </c>
      <c r="I124" s="14">
        <v>6033</v>
      </c>
      <c r="J124" s="14">
        <f>K124+N124</f>
        <v>7636.4</v>
      </c>
      <c r="K124" s="14">
        <f>L124+M124</f>
        <v>1603.4</v>
      </c>
      <c r="L124" s="14"/>
      <c r="M124" s="14">
        <v>1603.4</v>
      </c>
      <c r="N124" s="14">
        <v>6033</v>
      </c>
      <c r="O124" s="27">
        <f t="shared" si="23"/>
        <v>100</v>
      </c>
      <c r="P124" s="14"/>
    </row>
    <row r="125" spans="1:16" s="2" customFormat="1" ht="27.75" customHeight="1">
      <c r="A125" s="6">
        <v>2</v>
      </c>
      <c r="B125" s="19" t="s">
        <v>309</v>
      </c>
      <c r="C125" s="43"/>
      <c r="D125" s="25"/>
      <c r="E125" s="13">
        <f>SUM(E126:E128)</f>
        <v>3343.113223</v>
      </c>
      <c r="F125" s="13">
        <f aca="true" t="shared" si="48" ref="F125:N125">SUM(F126:F128)</f>
        <v>33.113223</v>
      </c>
      <c r="G125" s="13">
        <f t="shared" si="48"/>
        <v>33.113223</v>
      </c>
      <c r="H125" s="13">
        <f t="shared" si="48"/>
        <v>0</v>
      </c>
      <c r="I125" s="13">
        <f t="shared" si="48"/>
        <v>3310</v>
      </c>
      <c r="J125" s="13">
        <f t="shared" si="48"/>
        <v>0</v>
      </c>
      <c r="K125" s="13">
        <f t="shared" si="48"/>
        <v>0</v>
      </c>
      <c r="L125" s="13">
        <f t="shared" si="48"/>
        <v>0</v>
      </c>
      <c r="M125" s="13">
        <f t="shared" si="48"/>
        <v>0</v>
      </c>
      <c r="N125" s="13">
        <f t="shared" si="48"/>
        <v>0</v>
      </c>
      <c r="O125" s="26">
        <f t="shared" si="23"/>
        <v>0</v>
      </c>
      <c r="P125" s="13"/>
    </row>
    <row r="126" spans="1:16" ht="27.75" customHeight="1">
      <c r="A126" s="9" t="s">
        <v>4</v>
      </c>
      <c r="B126" s="15" t="s">
        <v>252</v>
      </c>
      <c r="C126" s="67" t="s">
        <v>309</v>
      </c>
      <c r="D126" s="12">
        <v>8066077</v>
      </c>
      <c r="E126" s="14">
        <f t="shared" si="38"/>
        <v>1881</v>
      </c>
      <c r="F126" s="13">
        <f aca="true" t="shared" si="49" ref="F126:F177">G126+H126</f>
        <v>0</v>
      </c>
      <c r="G126" s="13"/>
      <c r="H126" s="13"/>
      <c r="I126" s="14">
        <v>1881</v>
      </c>
      <c r="J126" s="14">
        <f t="shared" si="47"/>
        <v>0</v>
      </c>
      <c r="K126" s="13">
        <f aca="true" t="shared" si="50" ref="K126:K177">L126+M126</f>
        <v>0</v>
      </c>
      <c r="L126" s="13"/>
      <c r="M126" s="13"/>
      <c r="N126" s="14"/>
      <c r="O126" s="27">
        <f t="shared" si="23"/>
        <v>0</v>
      </c>
      <c r="P126" s="13"/>
    </row>
    <row r="127" spans="1:16" ht="27.75" customHeight="1">
      <c r="A127" s="9" t="s">
        <v>4</v>
      </c>
      <c r="B127" s="15" t="s">
        <v>253</v>
      </c>
      <c r="C127" s="68"/>
      <c r="D127" s="12">
        <v>8066066</v>
      </c>
      <c r="E127" s="14">
        <f t="shared" si="38"/>
        <v>1429</v>
      </c>
      <c r="F127" s="13">
        <f t="shared" si="49"/>
        <v>0</v>
      </c>
      <c r="G127" s="13"/>
      <c r="H127" s="13"/>
      <c r="I127" s="14">
        <v>1429</v>
      </c>
      <c r="J127" s="14">
        <f t="shared" si="47"/>
        <v>0</v>
      </c>
      <c r="K127" s="13">
        <f t="shared" si="50"/>
        <v>0</v>
      </c>
      <c r="L127" s="13"/>
      <c r="M127" s="13"/>
      <c r="N127" s="14"/>
      <c r="O127" s="27">
        <f t="shared" si="23"/>
        <v>0</v>
      </c>
      <c r="P127" s="13"/>
    </row>
    <row r="128" spans="1:16" ht="27.75" customHeight="1">
      <c r="A128" s="9" t="s">
        <v>4</v>
      </c>
      <c r="B128" s="15" t="s">
        <v>141</v>
      </c>
      <c r="C128" s="69"/>
      <c r="D128" s="3" t="s">
        <v>191</v>
      </c>
      <c r="E128" s="14">
        <f>F128+I128</f>
        <v>33.113223</v>
      </c>
      <c r="F128" s="14">
        <f>G128+H128</f>
        <v>33.113223</v>
      </c>
      <c r="G128" s="14">
        <f>33113223/1000000</f>
        <v>33.113223</v>
      </c>
      <c r="H128" s="14">
        <v>0</v>
      </c>
      <c r="I128" s="14"/>
      <c r="J128" s="14">
        <f>K128+N128</f>
        <v>0</v>
      </c>
      <c r="K128" s="14">
        <f>L128+M128</f>
        <v>0</v>
      </c>
      <c r="L128" s="14"/>
      <c r="M128" s="14"/>
      <c r="N128" s="14"/>
      <c r="O128" s="27">
        <f t="shared" si="23"/>
        <v>0</v>
      </c>
      <c r="P128" s="14"/>
    </row>
    <row r="129" spans="1:16" s="2" customFormat="1" ht="27.75" customHeight="1">
      <c r="A129" s="6">
        <v>3</v>
      </c>
      <c r="B129" s="19" t="s">
        <v>290</v>
      </c>
      <c r="C129" s="43"/>
      <c r="D129" s="25"/>
      <c r="E129" s="13">
        <f>SUM(E130:E134)</f>
        <v>3215.841</v>
      </c>
      <c r="F129" s="13">
        <f aca="true" t="shared" si="51" ref="F129:N129">SUM(F130:F134)</f>
        <v>15.841</v>
      </c>
      <c r="G129" s="13">
        <f t="shared" si="51"/>
        <v>15.841</v>
      </c>
      <c r="H129" s="13">
        <f t="shared" si="51"/>
        <v>0</v>
      </c>
      <c r="I129" s="13">
        <f t="shared" si="51"/>
        <v>3200</v>
      </c>
      <c r="J129" s="13">
        <f t="shared" si="51"/>
        <v>0</v>
      </c>
      <c r="K129" s="13">
        <f t="shared" si="51"/>
        <v>0</v>
      </c>
      <c r="L129" s="13">
        <f t="shared" si="51"/>
        <v>0</v>
      </c>
      <c r="M129" s="13">
        <f t="shared" si="51"/>
        <v>0</v>
      </c>
      <c r="N129" s="13">
        <f t="shared" si="51"/>
        <v>0</v>
      </c>
      <c r="O129" s="26">
        <f aca="true" t="shared" si="52" ref="O129:O192">J129/E129*100</f>
        <v>0</v>
      </c>
      <c r="P129" s="13"/>
    </row>
    <row r="130" spans="1:16" ht="27.75" customHeight="1">
      <c r="A130" s="9" t="s">
        <v>4</v>
      </c>
      <c r="B130" s="15" t="s">
        <v>254</v>
      </c>
      <c r="C130" s="67" t="s">
        <v>290</v>
      </c>
      <c r="D130" s="12">
        <v>8064866</v>
      </c>
      <c r="E130" s="14">
        <f t="shared" si="38"/>
        <v>800</v>
      </c>
      <c r="F130" s="13">
        <f t="shared" si="49"/>
        <v>0</v>
      </c>
      <c r="G130" s="13"/>
      <c r="H130" s="13"/>
      <c r="I130" s="14">
        <v>800</v>
      </c>
      <c r="J130" s="14">
        <f t="shared" si="47"/>
        <v>0</v>
      </c>
      <c r="K130" s="13">
        <f t="shared" si="50"/>
        <v>0</v>
      </c>
      <c r="L130" s="13"/>
      <c r="M130" s="13"/>
      <c r="N130" s="14"/>
      <c r="O130" s="27">
        <f t="shared" si="52"/>
        <v>0</v>
      </c>
      <c r="P130" s="13"/>
    </row>
    <row r="131" spans="1:16" ht="27.75" customHeight="1">
      <c r="A131" s="9" t="s">
        <v>4</v>
      </c>
      <c r="B131" s="15" t="s">
        <v>255</v>
      </c>
      <c r="C131" s="68"/>
      <c r="D131" s="12">
        <v>8068285</v>
      </c>
      <c r="E131" s="14">
        <f t="shared" si="38"/>
        <v>800</v>
      </c>
      <c r="F131" s="13">
        <f t="shared" si="49"/>
        <v>0</v>
      </c>
      <c r="G131" s="13"/>
      <c r="H131" s="13"/>
      <c r="I131" s="14">
        <v>800</v>
      </c>
      <c r="J131" s="14">
        <f t="shared" si="47"/>
        <v>0</v>
      </c>
      <c r="K131" s="13">
        <f t="shared" si="50"/>
        <v>0</v>
      </c>
      <c r="L131" s="13"/>
      <c r="M131" s="13"/>
      <c r="N131" s="14"/>
      <c r="O131" s="27">
        <f t="shared" si="52"/>
        <v>0</v>
      </c>
      <c r="P131" s="13"/>
    </row>
    <row r="132" spans="1:16" ht="27.75" customHeight="1">
      <c r="A132" s="9" t="s">
        <v>4</v>
      </c>
      <c r="B132" s="17" t="s">
        <v>143</v>
      </c>
      <c r="C132" s="68"/>
      <c r="D132" s="3" t="s">
        <v>193</v>
      </c>
      <c r="E132" s="14">
        <f>F132+I132</f>
        <v>15.841</v>
      </c>
      <c r="F132" s="14">
        <f>G132+H132</f>
        <v>15.841</v>
      </c>
      <c r="G132" s="14">
        <f>15841000/1000000</f>
        <v>15.841</v>
      </c>
      <c r="H132" s="14">
        <v>0</v>
      </c>
      <c r="I132" s="14"/>
      <c r="J132" s="14">
        <f>K132+N132</f>
        <v>0</v>
      </c>
      <c r="K132" s="14">
        <f>L132+M132</f>
        <v>0</v>
      </c>
      <c r="L132" s="14"/>
      <c r="M132" s="14"/>
      <c r="N132" s="14"/>
      <c r="O132" s="27">
        <f t="shared" si="52"/>
        <v>0</v>
      </c>
      <c r="P132" s="14"/>
    </row>
    <row r="133" spans="1:16" ht="27.75" customHeight="1">
      <c r="A133" s="9" t="s">
        <v>4</v>
      </c>
      <c r="B133" s="15" t="s">
        <v>256</v>
      </c>
      <c r="C133" s="68"/>
      <c r="D133" s="12">
        <v>8064865</v>
      </c>
      <c r="E133" s="14">
        <f t="shared" si="38"/>
        <v>800</v>
      </c>
      <c r="F133" s="13">
        <f t="shared" si="49"/>
        <v>0</v>
      </c>
      <c r="G133" s="13"/>
      <c r="H133" s="13"/>
      <c r="I133" s="14">
        <v>800</v>
      </c>
      <c r="J133" s="14">
        <f t="shared" si="47"/>
        <v>0</v>
      </c>
      <c r="K133" s="13">
        <f t="shared" si="50"/>
        <v>0</v>
      </c>
      <c r="L133" s="13"/>
      <c r="M133" s="13"/>
      <c r="N133" s="14"/>
      <c r="O133" s="27">
        <f t="shared" si="52"/>
        <v>0</v>
      </c>
      <c r="P133" s="13"/>
    </row>
    <row r="134" spans="1:16" ht="27.75" customHeight="1">
      <c r="A134" s="9" t="s">
        <v>4</v>
      </c>
      <c r="B134" s="15" t="s">
        <v>257</v>
      </c>
      <c r="C134" s="69"/>
      <c r="D134" s="12">
        <v>8064874</v>
      </c>
      <c r="E134" s="14">
        <f t="shared" si="38"/>
        <v>800</v>
      </c>
      <c r="F134" s="13">
        <f t="shared" si="49"/>
        <v>0</v>
      </c>
      <c r="G134" s="13"/>
      <c r="H134" s="13"/>
      <c r="I134" s="14">
        <v>800</v>
      </c>
      <c r="J134" s="14">
        <f t="shared" si="47"/>
        <v>0</v>
      </c>
      <c r="K134" s="13">
        <f t="shared" si="50"/>
        <v>0</v>
      </c>
      <c r="L134" s="13"/>
      <c r="M134" s="13"/>
      <c r="N134" s="14"/>
      <c r="O134" s="27">
        <f t="shared" si="52"/>
        <v>0</v>
      </c>
      <c r="P134" s="13"/>
    </row>
    <row r="135" spans="1:16" s="2" customFormat="1" ht="27.75" customHeight="1">
      <c r="A135" s="6">
        <v>4</v>
      </c>
      <c r="B135" s="19" t="s">
        <v>287</v>
      </c>
      <c r="C135" s="43"/>
      <c r="D135" s="42"/>
      <c r="E135" s="13">
        <f>SUM(E136:E138)</f>
        <v>3953.434</v>
      </c>
      <c r="F135" s="13">
        <f aca="true" t="shared" si="53" ref="F135:N135">SUM(F136:F138)</f>
        <v>533.438</v>
      </c>
      <c r="G135" s="13">
        <f t="shared" si="53"/>
        <v>533.438</v>
      </c>
      <c r="H135" s="13">
        <f t="shared" si="53"/>
        <v>0</v>
      </c>
      <c r="I135" s="13">
        <f t="shared" si="53"/>
        <v>3419.996</v>
      </c>
      <c r="J135" s="13">
        <f t="shared" si="53"/>
        <v>507</v>
      </c>
      <c r="K135" s="13">
        <f t="shared" si="53"/>
        <v>0</v>
      </c>
      <c r="L135" s="13">
        <f t="shared" si="53"/>
        <v>0</v>
      </c>
      <c r="M135" s="13">
        <f t="shared" si="53"/>
        <v>0</v>
      </c>
      <c r="N135" s="13">
        <f t="shared" si="53"/>
        <v>507</v>
      </c>
      <c r="O135" s="26">
        <f t="shared" si="52"/>
        <v>12.824294018820092</v>
      </c>
      <c r="P135" s="13"/>
    </row>
    <row r="136" spans="1:16" ht="27.75" customHeight="1">
      <c r="A136" s="9" t="s">
        <v>4</v>
      </c>
      <c r="B136" s="15" t="s">
        <v>258</v>
      </c>
      <c r="C136" s="67" t="s">
        <v>287</v>
      </c>
      <c r="D136" s="12">
        <v>8067980</v>
      </c>
      <c r="E136" s="14">
        <f t="shared" si="38"/>
        <v>1420</v>
      </c>
      <c r="F136" s="13">
        <f t="shared" si="49"/>
        <v>0</v>
      </c>
      <c r="G136" s="13"/>
      <c r="H136" s="13"/>
      <c r="I136" s="14">
        <v>1420</v>
      </c>
      <c r="J136" s="14">
        <f t="shared" si="47"/>
        <v>507</v>
      </c>
      <c r="K136" s="13">
        <f t="shared" si="50"/>
        <v>0</v>
      </c>
      <c r="L136" s="13"/>
      <c r="M136" s="13"/>
      <c r="N136" s="14">
        <v>507</v>
      </c>
      <c r="O136" s="27">
        <f t="shared" si="52"/>
        <v>35.70422535211268</v>
      </c>
      <c r="P136" s="13"/>
    </row>
    <row r="137" spans="1:16" ht="27.75" customHeight="1">
      <c r="A137" s="9" t="s">
        <v>4</v>
      </c>
      <c r="B137" s="15" t="s">
        <v>139</v>
      </c>
      <c r="C137" s="68"/>
      <c r="D137" s="3" t="s">
        <v>189</v>
      </c>
      <c r="E137" s="14">
        <f>F137+I137</f>
        <v>47.392</v>
      </c>
      <c r="F137" s="14">
        <f>G137+H137</f>
        <v>47.392</v>
      </c>
      <c r="G137" s="14">
        <f>47392000/1000000</f>
        <v>47.392</v>
      </c>
      <c r="H137" s="14">
        <v>0</v>
      </c>
      <c r="I137" s="14"/>
      <c r="J137" s="14">
        <f>K137+N137</f>
        <v>0</v>
      </c>
      <c r="K137" s="14">
        <f>L137+M137</f>
        <v>0</v>
      </c>
      <c r="L137" s="14"/>
      <c r="M137" s="14"/>
      <c r="N137" s="14"/>
      <c r="O137" s="27">
        <f t="shared" si="52"/>
        <v>0</v>
      </c>
      <c r="P137" s="14"/>
    </row>
    <row r="138" spans="1:16" ht="27.75" customHeight="1">
      <c r="A138" s="9" t="s">
        <v>4</v>
      </c>
      <c r="B138" s="15" t="s">
        <v>146</v>
      </c>
      <c r="C138" s="69"/>
      <c r="D138" s="12" t="s">
        <v>196</v>
      </c>
      <c r="E138" s="14">
        <f>F138+I138</f>
        <v>2486.0420000000004</v>
      </c>
      <c r="F138" s="14">
        <f>G138+H138</f>
        <v>486.046</v>
      </c>
      <c r="G138" s="14">
        <f>486046000/1000000</f>
        <v>486.046</v>
      </c>
      <c r="H138" s="14">
        <v>0</v>
      </c>
      <c r="I138" s="14">
        <v>1999.9960000000003</v>
      </c>
      <c r="J138" s="14">
        <f>K138+N138</f>
        <v>0</v>
      </c>
      <c r="K138" s="14">
        <f>L138+M138</f>
        <v>0</v>
      </c>
      <c r="L138" s="14"/>
      <c r="M138" s="14"/>
      <c r="N138" s="14"/>
      <c r="O138" s="27">
        <f t="shared" si="52"/>
        <v>0</v>
      </c>
      <c r="P138" s="14"/>
    </row>
    <row r="139" spans="1:16" s="2" customFormat="1" ht="27.75" customHeight="1">
      <c r="A139" s="6">
        <v>5</v>
      </c>
      <c r="B139" s="19" t="s">
        <v>310</v>
      </c>
      <c r="C139" s="43"/>
      <c r="D139" s="42"/>
      <c r="E139" s="13">
        <f>SUM(E140:E141)</f>
        <v>3416</v>
      </c>
      <c r="F139" s="13">
        <f aca="true" t="shared" si="54" ref="F139:N139">SUM(F140:F141)</f>
        <v>0</v>
      </c>
      <c r="G139" s="13">
        <f t="shared" si="54"/>
        <v>0</v>
      </c>
      <c r="H139" s="13">
        <f t="shared" si="54"/>
        <v>0</v>
      </c>
      <c r="I139" s="13">
        <f t="shared" si="54"/>
        <v>3416</v>
      </c>
      <c r="J139" s="13">
        <f t="shared" si="54"/>
        <v>382.673</v>
      </c>
      <c r="K139" s="13">
        <f t="shared" si="54"/>
        <v>0</v>
      </c>
      <c r="L139" s="13">
        <f t="shared" si="54"/>
        <v>0</v>
      </c>
      <c r="M139" s="13">
        <f t="shared" si="54"/>
        <v>0</v>
      </c>
      <c r="N139" s="13">
        <f t="shared" si="54"/>
        <v>382.673</v>
      </c>
      <c r="O139" s="26">
        <f t="shared" si="52"/>
        <v>11.202371194379392</v>
      </c>
      <c r="P139" s="13"/>
    </row>
    <row r="140" spans="1:16" ht="27.75" customHeight="1">
      <c r="A140" s="9" t="s">
        <v>4</v>
      </c>
      <c r="B140" s="15" t="s">
        <v>259</v>
      </c>
      <c r="C140" s="67" t="s">
        <v>310</v>
      </c>
      <c r="D140" s="12">
        <v>8068152</v>
      </c>
      <c r="E140" s="14">
        <f t="shared" si="38"/>
        <v>2212</v>
      </c>
      <c r="F140" s="13">
        <f t="shared" si="49"/>
        <v>0</v>
      </c>
      <c r="G140" s="13"/>
      <c r="H140" s="13"/>
      <c r="I140" s="14">
        <v>2212</v>
      </c>
      <c r="J140" s="14">
        <f t="shared" si="47"/>
        <v>205.796</v>
      </c>
      <c r="K140" s="13">
        <f t="shared" si="50"/>
        <v>0</v>
      </c>
      <c r="L140" s="13"/>
      <c r="M140" s="13"/>
      <c r="N140" s="14">
        <v>205.796</v>
      </c>
      <c r="O140" s="27">
        <f t="shared" si="52"/>
        <v>9.303616636528028</v>
      </c>
      <c r="P140" s="13"/>
    </row>
    <row r="141" spans="1:16" ht="27.75" customHeight="1">
      <c r="A141" s="9" t="s">
        <v>4</v>
      </c>
      <c r="B141" s="15" t="s">
        <v>260</v>
      </c>
      <c r="C141" s="69"/>
      <c r="D141" s="12">
        <v>8068153</v>
      </c>
      <c r="E141" s="14">
        <f t="shared" si="38"/>
        <v>1204</v>
      </c>
      <c r="F141" s="13">
        <f t="shared" si="49"/>
        <v>0</v>
      </c>
      <c r="G141" s="13"/>
      <c r="H141" s="13"/>
      <c r="I141" s="14">
        <v>1204</v>
      </c>
      <c r="J141" s="14">
        <f t="shared" si="47"/>
        <v>176.877</v>
      </c>
      <c r="K141" s="13">
        <f t="shared" si="50"/>
        <v>0</v>
      </c>
      <c r="L141" s="13"/>
      <c r="M141" s="13"/>
      <c r="N141" s="65">
        <v>176.877</v>
      </c>
      <c r="O141" s="27">
        <f t="shared" si="52"/>
        <v>14.69078073089701</v>
      </c>
      <c r="P141" s="13"/>
    </row>
    <row r="142" spans="1:16" s="2" customFormat="1" ht="27.75" customHeight="1">
      <c r="A142" s="6">
        <v>6</v>
      </c>
      <c r="B142" s="19" t="s">
        <v>283</v>
      </c>
      <c r="C142" s="43"/>
      <c r="D142" s="42"/>
      <c r="E142" s="13">
        <f>SUM(E143:E146)</f>
        <v>3213.827183</v>
      </c>
      <c r="F142" s="13">
        <f aca="true" t="shared" si="55" ref="F142:N142">SUM(F143:F146)</f>
        <v>13.827183</v>
      </c>
      <c r="G142" s="13">
        <f t="shared" si="55"/>
        <v>13.827183</v>
      </c>
      <c r="H142" s="13">
        <f t="shared" si="55"/>
        <v>0</v>
      </c>
      <c r="I142" s="13">
        <f t="shared" si="55"/>
        <v>3200</v>
      </c>
      <c r="J142" s="13">
        <f t="shared" si="55"/>
        <v>0</v>
      </c>
      <c r="K142" s="13">
        <f t="shared" si="55"/>
        <v>0</v>
      </c>
      <c r="L142" s="13">
        <f t="shared" si="55"/>
        <v>0</v>
      </c>
      <c r="M142" s="13">
        <f t="shared" si="55"/>
        <v>0</v>
      </c>
      <c r="N142" s="13">
        <f t="shared" si="55"/>
        <v>0</v>
      </c>
      <c r="O142" s="26">
        <f t="shared" si="52"/>
        <v>0</v>
      </c>
      <c r="P142" s="13"/>
    </row>
    <row r="143" spans="1:16" ht="27.75" customHeight="1">
      <c r="A143" s="9" t="s">
        <v>4</v>
      </c>
      <c r="B143" s="15" t="s">
        <v>261</v>
      </c>
      <c r="C143" s="67" t="s">
        <v>283</v>
      </c>
      <c r="D143" s="12">
        <v>8066063</v>
      </c>
      <c r="E143" s="14">
        <f t="shared" si="38"/>
        <v>1200</v>
      </c>
      <c r="F143" s="13">
        <f t="shared" si="49"/>
        <v>0</v>
      </c>
      <c r="G143" s="13"/>
      <c r="H143" s="13"/>
      <c r="I143" s="14">
        <v>1200</v>
      </c>
      <c r="J143" s="14">
        <f t="shared" si="47"/>
        <v>0</v>
      </c>
      <c r="K143" s="13">
        <f t="shared" si="50"/>
        <v>0</v>
      </c>
      <c r="L143" s="13"/>
      <c r="M143" s="13"/>
      <c r="N143" s="14"/>
      <c r="O143" s="27">
        <f t="shared" si="52"/>
        <v>0</v>
      </c>
      <c r="P143" s="13"/>
    </row>
    <row r="144" spans="1:16" ht="27.75" customHeight="1">
      <c r="A144" s="9" t="s">
        <v>4</v>
      </c>
      <c r="B144" s="15" t="s">
        <v>262</v>
      </c>
      <c r="C144" s="68"/>
      <c r="D144" s="12">
        <v>8067759</v>
      </c>
      <c r="E144" s="14">
        <f t="shared" si="38"/>
        <v>1000</v>
      </c>
      <c r="F144" s="13">
        <f t="shared" si="49"/>
        <v>0</v>
      </c>
      <c r="G144" s="13"/>
      <c r="H144" s="13"/>
      <c r="I144" s="14">
        <v>1000</v>
      </c>
      <c r="J144" s="14">
        <f t="shared" si="47"/>
        <v>0</v>
      </c>
      <c r="K144" s="13">
        <f t="shared" si="50"/>
        <v>0</v>
      </c>
      <c r="L144" s="13"/>
      <c r="M144" s="13"/>
      <c r="N144" s="14"/>
      <c r="O144" s="27">
        <f t="shared" si="52"/>
        <v>0</v>
      </c>
      <c r="P144" s="13"/>
    </row>
    <row r="145" spans="1:16" ht="27.75" customHeight="1">
      <c r="A145" s="9" t="s">
        <v>4</v>
      </c>
      <c r="B145" s="15" t="s">
        <v>263</v>
      </c>
      <c r="C145" s="68"/>
      <c r="D145" s="12">
        <v>8067758</v>
      </c>
      <c r="E145" s="14">
        <f t="shared" si="38"/>
        <v>1000</v>
      </c>
      <c r="F145" s="13">
        <f t="shared" si="49"/>
        <v>0</v>
      </c>
      <c r="G145" s="13"/>
      <c r="H145" s="13"/>
      <c r="I145" s="14">
        <v>1000</v>
      </c>
      <c r="J145" s="14">
        <f t="shared" si="47"/>
        <v>0</v>
      </c>
      <c r="K145" s="13">
        <f t="shared" si="50"/>
        <v>0</v>
      </c>
      <c r="L145" s="13"/>
      <c r="M145" s="13"/>
      <c r="N145" s="14"/>
      <c r="O145" s="27">
        <f t="shared" si="52"/>
        <v>0</v>
      </c>
      <c r="P145" s="13"/>
    </row>
    <row r="146" spans="1:16" ht="27.75" customHeight="1">
      <c r="A146" s="9" t="s">
        <v>4</v>
      </c>
      <c r="B146" s="15" t="s">
        <v>135</v>
      </c>
      <c r="C146" s="69"/>
      <c r="D146" s="12" t="s">
        <v>185</v>
      </c>
      <c r="E146" s="14">
        <f>F146+I146</f>
        <v>13.827183</v>
      </c>
      <c r="F146" s="14">
        <f>G146+H146</f>
        <v>13.827183</v>
      </c>
      <c r="G146" s="14">
        <f>13827183/1000000</f>
        <v>13.827183</v>
      </c>
      <c r="H146" s="14">
        <v>0</v>
      </c>
      <c r="I146" s="14"/>
      <c r="J146" s="14">
        <f>K146+N146</f>
        <v>0</v>
      </c>
      <c r="K146" s="14">
        <f>L146+M146</f>
        <v>0</v>
      </c>
      <c r="L146" s="14"/>
      <c r="M146" s="14"/>
      <c r="N146" s="14"/>
      <c r="O146" s="27">
        <f t="shared" si="52"/>
        <v>0</v>
      </c>
      <c r="P146" s="14"/>
    </row>
    <row r="147" spans="1:16" s="2" customFormat="1" ht="27.75" customHeight="1">
      <c r="A147" s="6">
        <v>7</v>
      </c>
      <c r="B147" s="19" t="s">
        <v>285</v>
      </c>
      <c r="C147" s="43"/>
      <c r="D147" s="42"/>
      <c r="E147" s="13">
        <f>SUM(E148:E152)</f>
        <v>3602.648972</v>
      </c>
      <c r="F147" s="13">
        <f aca="true" t="shared" si="56" ref="F147:N147">SUM(F148:F152)</f>
        <v>2.648972</v>
      </c>
      <c r="G147" s="13">
        <f t="shared" si="56"/>
        <v>2.648972</v>
      </c>
      <c r="H147" s="13">
        <f t="shared" si="56"/>
        <v>0</v>
      </c>
      <c r="I147" s="13">
        <f t="shared" si="56"/>
        <v>3600</v>
      </c>
      <c r="J147" s="13">
        <f t="shared" si="56"/>
        <v>896.5</v>
      </c>
      <c r="K147" s="13">
        <f t="shared" si="56"/>
        <v>0</v>
      </c>
      <c r="L147" s="13">
        <f t="shared" si="56"/>
        <v>0</v>
      </c>
      <c r="M147" s="13">
        <f t="shared" si="56"/>
        <v>0</v>
      </c>
      <c r="N147" s="13">
        <f t="shared" si="56"/>
        <v>896.5</v>
      </c>
      <c r="O147" s="26">
        <f t="shared" si="52"/>
        <v>24.884467150911753</v>
      </c>
      <c r="P147" s="13"/>
    </row>
    <row r="148" spans="1:16" ht="27.75" customHeight="1">
      <c r="A148" s="9" t="s">
        <v>4</v>
      </c>
      <c r="B148" s="15" t="s">
        <v>264</v>
      </c>
      <c r="C148" s="67" t="s">
        <v>285</v>
      </c>
      <c r="D148" s="12">
        <v>8066993</v>
      </c>
      <c r="E148" s="14">
        <f t="shared" si="38"/>
        <v>900</v>
      </c>
      <c r="F148" s="13">
        <f t="shared" si="49"/>
        <v>0</v>
      </c>
      <c r="G148" s="13"/>
      <c r="H148" s="13"/>
      <c r="I148" s="14">
        <v>900</v>
      </c>
      <c r="J148" s="14">
        <f t="shared" si="47"/>
        <v>0</v>
      </c>
      <c r="K148" s="13">
        <f t="shared" si="50"/>
        <v>0</v>
      </c>
      <c r="L148" s="13"/>
      <c r="M148" s="13"/>
      <c r="N148" s="14"/>
      <c r="O148" s="27">
        <f t="shared" si="52"/>
        <v>0</v>
      </c>
      <c r="P148" s="13"/>
    </row>
    <row r="149" spans="1:16" ht="27.75" customHeight="1">
      <c r="A149" s="9" t="s">
        <v>4</v>
      </c>
      <c r="B149" s="15" t="s">
        <v>265</v>
      </c>
      <c r="C149" s="68"/>
      <c r="D149" s="12">
        <v>8066994</v>
      </c>
      <c r="E149" s="14">
        <f t="shared" si="38"/>
        <v>900</v>
      </c>
      <c r="F149" s="13">
        <f t="shared" si="49"/>
        <v>0</v>
      </c>
      <c r="G149" s="13"/>
      <c r="H149" s="13"/>
      <c r="I149" s="14">
        <v>900</v>
      </c>
      <c r="J149" s="14">
        <f t="shared" si="47"/>
        <v>896.5</v>
      </c>
      <c r="K149" s="13">
        <f t="shared" si="50"/>
        <v>0</v>
      </c>
      <c r="L149" s="13"/>
      <c r="M149" s="13"/>
      <c r="N149" s="14">
        <v>896.5</v>
      </c>
      <c r="O149" s="27">
        <f t="shared" si="52"/>
        <v>99.6111111111111</v>
      </c>
      <c r="P149" s="13"/>
    </row>
    <row r="150" spans="1:16" ht="27.75" customHeight="1">
      <c r="A150" s="9" t="s">
        <v>4</v>
      </c>
      <c r="B150" s="15" t="s">
        <v>266</v>
      </c>
      <c r="C150" s="68"/>
      <c r="D150" s="12">
        <v>8066995</v>
      </c>
      <c r="E150" s="14">
        <f t="shared" si="38"/>
        <v>1000</v>
      </c>
      <c r="F150" s="13">
        <f t="shared" si="49"/>
        <v>0</v>
      </c>
      <c r="G150" s="13"/>
      <c r="H150" s="13"/>
      <c r="I150" s="14">
        <v>1000</v>
      </c>
      <c r="J150" s="14">
        <f t="shared" si="47"/>
        <v>0</v>
      </c>
      <c r="K150" s="13">
        <f t="shared" si="50"/>
        <v>0</v>
      </c>
      <c r="L150" s="13"/>
      <c r="M150" s="13"/>
      <c r="N150" s="14"/>
      <c r="O150" s="27">
        <f t="shared" si="52"/>
        <v>0</v>
      </c>
      <c r="P150" s="13"/>
    </row>
    <row r="151" spans="1:16" ht="27.75" customHeight="1">
      <c r="A151" s="9" t="s">
        <v>4</v>
      </c>
      <c r="B151" s="15" t="s">
        <v>267</v>
      </c>
      <c r="C151" s="68"/>
      <c r="D151" s="12">
        <v>8066996</v>
      </c>
      <c r="E151" s="14">
        <f t="shared" si="38"/>
        <v>800</v>
      </c>
      <c r="F151" s="13">
        <f t="shared" si="49"/>
        <v>0</v>
      </c>
      <c r="G151" s="13"/>
      <c r="H151" s="13"/>
      <c r="I151" s="14">
        <v>800</v>
      </c>
      <c r="J151" s="14">
        <f t="shared" si="47"/>
        <v>0</v>
      </c>
      <c r="K151" s="13">
        <f t="shared" si="50"/>
        <v>0</v>
      </c>
      <c r="L151" s="13"/>
      <c r="M151" s="13"/>
      <c r="N151" s="14"/>
      <c r="O151" s="27">
        <f t="shared" si="52"/>
        <v>0</v>
      </c>
      <c r="P151" s="13"/>
    </row>
    <row r="152" spans="1:16" ht="27.75" customHeight="1">
      <c r="A152" s="9" t="s">
        <v>4</v>
      </c>
      <c r="B152" s="15" t="s">
        <v>137</v>
      </c>
      <c r="C152" s="69"/>
      <c r="D152" s="3" t="s">
        <v>187</v>
      </c>
      <c r="E152" s="14">
        <f>F152+I152</f>
        <v>2.648972</v>
      </c>
      <c r="F152" s="14">
        <f>G152+H152</f>
        <v>2.648972</v>
      </c>
      <c r="G152" s="14">
        <f>2648972/1000000</f>
        <v>2.648972</v>
      </c>
      <c r="H152" s="14">
        <v>0</v>
      </c>
      <c r="I152" s="14"/>
      <c r="J152" s="14">
        <f>K152+N152</f>
        <v>0</v>
      </c>
      <c r="K152" s="14">
        <f>L152+M152</f>
        <v>0</v>
      </c>
      <c r="L152" s="14"/>
      <c r="M152" s="14"/>
      <c r="N152" s="14"/>
      <c r="O152" s="27">
        <f t="shared" si="52"/>
        <v>0</v>
      </c>
      <c r="P152" s="66" t="s">
        <v>315</v>
      </c>
    </row>
    <row r="153" spans="1:16" s="2" customFormat="1" ht="27.75" customHeight="1">
      <c r="A153" s="6">
        <v>8</v>
      </c>
      <c r="B153" s="19" t="s">
        <v>284</v>
      </c>
      <c r="C153" s="43"/>
      <c r="D153" s="25"/>
      <c r="E153" s="13">
        <f>SUM(E154:E156)</f>
        <v>3767.314711</v>
      </c>
      <c r="F153" s="13">
        <f aca="true" t="shared" si="57" ref="F153:N153">SUM(F154:F156)</f>
        <v>67.314711</v>
      </c>
      <c r="G153" s="13">
        <f t="shared" si="57"/>
        <v>67.314711</v>
      </c>
      <c r="H153" s="13">
        <f t="shared" si="57"/>
        <v>0</v>
      </c>
      <c r="I153" s="13">
        <f t="shared" si="57"/>
        <v>3700</v>
      </c>
      <c r="J153" s="13">
        <f t="shared" si="57"/>
        <v>0</v>
      </c>
      <c r="K153" s="13">
        <f t="shared" si="57"/>
        <v>0</v>
      </c>
      <c r="L153" s="13">
        <f t="shared" si="57"/>
        <v>0</v>
      </c>
      <c r="M153" s="13">
        <f t="shared" si="57"/>
        <v>0</v>
      </c>
      <c r="N153" s="13">
        <f t="shared" si="57"/>
        <v>0</v>
      </c>
      <c r="O153" s="26">
        <f t="shared" si="52"/>
        <v>0</v>
      </c>
      <c r="P153" s="13"/>
    </row>
    <row r="154" spans="1:16" ht="27.75" customHeight="1">
      <c r="A154" s="9" t="s">
        <v>4</v>
      </c>
      <c r="B154" s="15" t="s">
        <v>268</v>
      </c>
      <c r="C154" s="67" t="s">
        <v>284</v>
      </c>
      <c r="D154" s="12">
        <v>8067395</v>
      </c>
      <c r="E154" s="14">
        <f t="shared" si="38"/>
        <v>2000</v>
      </c>
      <c r="F154" s="13">
        <f t="shared" si="49"/>
        <v>0</v>
      </c>
      <c r="G154" s="13"/>
      <c r="H154" s="13"/>
      <c r="I154" s="14">
        <v>2000</v>
      </c>
      <c r="J154" s="14">
        <f t="shared" si="47"/>
        <v>0</v>
      </c>
      <c r="K154" s="13">
        <f t="shared" si="50"/>
        <v>0</v>
      </c>
      <c r="L154" s="13"/>
      <c r="M154" s="13"/>
      <c r="N154" s="14"/>
      <c r="O154" s="27">
        <f t="shared" si="52"/>
        <v>0</v>
      </c>
      <c r="P154" s="13"/>
    </row>
    <row r="155" spans="1:16" ht="27.75" customHeight="1">
      <c r="A155" s="9" t="s">
        <v>4</v>
      </c>
      <c r="B155" s="15" t="s">
        <v>269</v>
      </c>
      <c r="C155" s="68"/>
      <c r="D155" s="12">
        <v>8067396</v>
      </c>
      <c r="E155" s="14">
        <f t="shared" si="38"/>
        <v>1700</v>
      </c>
      <c r="F155" s="13">
        <f t="shared" si="49"/>
        <v>0</v>
      </c>
      <c r="G155" s="13"/>
      <c r="H155" s="13"/>
      <c r="I155" s="14">
        <v>1700</v>
      </c>
      <c r="J155" s="14">
        <f t="shared" si="47"/>
        <v>0</v>
      </c>
      <c r="K155" s="13">
        <f t="shared" si="50"/>
        <v>0</v>
      </c>
      <c r="L155" s="13"/>
      <c r="M155" s="13"/>
      <c r="N155" s="14"/>
      <c r="O155" s="27">
        <f t="shared" si="52"/>
        <v>0</v>
      </c>
      <c r="P155" s="13"/>
    </row>
    <row r="156" spans="1:16" ht="27.75" customHeight="1">
      <c r="A156" s="9" t="s">
        <v>4</v>
      </c>
      <c r="B156" s="15" t="s">
        <v>136</v>
      </c>
      <c r="C156" s="69"/>
      <c r="D156" s="3" t="s">
        <v>186</v>
      </c>
      <c r="E156" s="14">
        <f>F156+I156</f>
        <v>67.314711</v>
      </c>
      <c r="F156" s="14">
        <f>G156+H156</f>
        <v>67.314711</v>
      </c>
      <c r="G156" s="14">
        <f>67314711/1000000</f>
        <v>67.314711</v>
      </c>
      <c r="H156" s="14">
        <v>0</v>
      </c>
      <c r="I156" s="14"/>
      <c r="J156" s="14">
        <f>K156+N156</f>
        <v>0</v>
      </c>
      <c r="K156" s="14">
        <f>L156+M156</f>
        <v>0</v>
      </c>
      <c r="L156" s="14"/>
      <c r="M156" s="14"/>
      <c r="N156" s="14"/>
      <c r="O156" s="27">
        <f t="shared" si="52"/>
        <v>0</v>
      </c>
      <c r="P156" s="14"/>
    </row>
    <row r="157" spans="1:16" s="2" customFormat="1" ht="27.75" customHeight="1">
      <c r="A157" s="6">
        <v>9</v>
      </c>
      <c r="B157" s="19" t="s">
        <v>289</v>
      </c>
      <c r="C157" s="43"/>
      <c r="D157" s="25"/>
      <c r="E157" s="13">
        <f>SUM(E158:E161)</f>
        <v>3676.851</v>
      </c>
      <c r="F157" s="13">
        <f aca="true" t="shared" si="58" ref="F157:N157">SUM(F158:F161)</f>
        <v>527.851</v>
      </c>
      <c r="G157" s="13">
        <f t="shared" si="58"/>
        <v>527.851</v>
      </c>
      <c r="H157" s="13">
        <f t="shared" si="58"/>
        <v>0</v>
      </c>
      <c r="I157" s="13">
        <f t="shared" si="58"/>
        <v>3149</v>
      </c>
      <c r="J157" s="13">
        <f t="shared" si="58"/>
        <v>0</v>
      </c>
      <c r="K157" s="13">
        <f t="shared" si="58"/>
        <v>0</v>
      </c>
      <c r="L157" s="13">
        <f t="shared" si="58"/>
        <v>0</v>
      </c>
      <c r="M157" s="13">
        <f t="shared" si="58"/>
        <v>0</v>
      </c>
      <c r="N157" s="13">
        <f t="shared" si="58"/>
        <v>0</v>
      </c>
      <c r="O157" s="26">
        <f t="shared" si="52"/>
        <v>0</v>
      </c>
      <c r="P157" s="13"/>
    </row>
    <row r="158" spans="1:16" ht="27.75" customHeight="1">
      <c r="A158" s="9" t="s">
        <v>4</v>
      </c>
      <c r="B158" s="15" t="s">
        <v>270</v>
      </c>
      <c r="C158" s="67" t="s">
        <v>289</v>
      </c>
      <c r="D158" s="12">
        <v>8066803</v>
      </c>
      <c r="E158" s="14">
        <f t="shared" si="38"/>
        <v>1500</v>
      </c>
      <c r="F158" s="13">
        <f t="shared" si="49"/>
        <v>0</v>
      </c>
      <c r="G158" s="13"/>
      <c r="H158" s="13"/>
      <c r="I158" s="14">
        <v>1500</v>
      </c>
      <c r="J158" s="14">
        <f t="shared" si="47"/>
        <v>0</v>
      </c>
      <c r="K158" s="13">
        <f t="shared" si="50"/>
        <v>0</v>
      </c>
      <c r="L158" s="13"/>
      <c r="M158" s="13"/>
      <c r="N158" s="14"/>
      <c r="O158" s="27">
        <f t="shared" si="52"/>
        <v>0</v>
      </c>
      <c r="P158" s="13"/>
    </row>
    <row r="159" spans="1:16" ht="27.75" customHeight="1">
      <c r="A159" s="9" t="s">
        <v>4</v>
      </c>
      <c r="B159" s="15" t="s">
        <v>271</v>
      </c>
      <c r="C159" s="68"/>
      <c r="D159" s="12">
        <v>8066805</v>
      </c>
      <c r="E159" s="14">
        <f t="shared" si="38"/>
        <v>849</v>
      </c>
      <c r="F159" s="13">
        <f t="shared" si="49"/>
        <v>0</v>
      </c>
      <c r="G159" s="13"/>
      <c r="H159" s="13"/>
      <c r="I159" s="14">
        <v>849</v>
      </c>
      <c r="J159" s="14">
        <f t="shared" si="47"/>
        <v>0</v>
      </c>
      <c r="K159" s="13">
        <f t="shared" si="50"/>
        <v>0</v>
      </c>
      <c r="L159" s="13"/>
      <c r="M159" s="13"/>
      <c r="N159" s="14"/>
      <c r="O159" s="27">
        <f t="shared" si="52"/>
        <v>0</v>
      </c>
      <c r="P159" s="13"/>
    </row>
    <row r="160" spans="1:16" ht="27.75" customHeight="1">
      <c r="A160" s="9" t="s">
        <v>4</v>
      </c>
      <c r="B160" s="15" t="s">
        <v>142</v>
      </c>
      <c r="C160" s="68"/>
      <c r="D160" s="3" t="s">
        <v>192</v>
      </c>
      <c r="E160" s="14">
        <f>F160+I160</f>
        <v>0.561</v>
      </c>
      <c r="F160" s="14">
        <f>G160+H160</f>
        <v>0.561</v>
      </c>
      <c r="G160" s="14">
        <f>561000/1000000</f>
        <v>0.561</v>
      </c>
      <c r="H160" s="14">
        <v>0</v>
      </c>
      <c r="I160" s="14"/>
      <c r="J160" s="14">
        <f>K160+N160</f>
        <v>0</v>
      </c>
      <c r="K160" s="14">
        <f>L160+M160</f>
        <v>0</v>
      </c>
      <c r="L160" s="14"/>
      <c r="M160" s="14"/>
      <c r="N160" s="14"/>
      <c r="O160" s="27">
        <f t="shared" si="52"/>
        <v>0</v>
      </c>
      <c r="P160" s="14"/>
    </row>
    <row r="161" spans="1:16" ht="27.75" customHeight="1">
      <c r="A161" s="9" t="s">
        <v>4</v>
      </c>
      <c r="B161" s="17" t="s">
        <v>147</v>
      </c>
      <c r="C161" s="69"/>
      <c r="D161" s="12" t="s">
        <v>197</v>
      </c>
      <c r="E161" s="14">
        <f>F161+I161</f>
        <v>1327.29</v>
      </c>
      <c r="F161" s="14">
        <f>G161+H161</f>
        <v>527.29</v>
      </c>
      <c r="G161" s="14">
        <f>527290000/1000000</f>
        <v>527.29</v>
      </c>
      <c r="H161" s="14">
        <v>0</v>
      </c>
      <c r="I161" s="14">
        <v>800</v>
      </c>
      <c r="J161" s="14">
        <f>K161+N161</f>
        <v>0</v>
      </c>
      <c r="K161" s="14">
        <f>L161+M161</f>
        <v>0</v>
      </c>
      <c r="L161" s="14"/>
      <c r="M161" s="14"/>
      <c r="N161" s="14"/>
      <c r="O161" s="27">
        <f t="shared" si="52"/>
        <v>0</v>
      </c>
      <c r="P161" s="14"/>
    </row>
    <row r="162" spans="1:16" s="2" customFormat="1" ht="27.75" customHeight="1">
      <c r="A162" s="6">
        <v>10</v>
      </c>
      <c r="B162" s="21" t="s">
        <v>288</v>
      </c>
      <c r="C162" s="43"/>
      <c r="D162" s="42"/>
      <c r="E162" s="13">
        <f>SUM(E163:E167)</f>
        <v>3338.072</v>
      </c>
      <c r="F162" s="13">
        <f aca="true" t="shared" si="59" ref="F162:N162">SUM(F163:F167)</f>
        <v>18.072</v>
      </c>
      <c r="G162" s="13">
        <f t="shared" si="59"/>
        <v>18.072</v>
      </c>
      <c r="H162" s="13">
        <f t="shared" si="59"/>
        <v>0</v>
      </c>
      <c r="I162" s="13">
        <f t="shared" si="59"/>
        <v>3320</v>
      </c>
      <c r="J162" s="13">
        <f t="shared" si="59"/>
        <v>0</v>
      </c>
      <c r="K162" s="13">
        <f t="shared" si="59"/>
        <v>0</v>
      </c>
      <c r="L162" s="13">
        <f t="shared" si="59"/>
        <v>0</v>
      </c>
      <c r="M162" s="13">
        <f t="shared" si="59"/>
        <v>0</v>
      </c>
      <c r="N162" s="13">
        <f t="shared" si="59"/>
        <v>0</v>
      </c>
      <c r="O162" s="26">
        <f t="shared" si="52"/>
        <v>0</v>
      </c>
      <c r="P162" s="13"/>
    </row>
    <row r="163" spans="1:16" ht="27.75" customHeight="1">
      <c r="A163" s="9" t="s">
        <v>4</v>
      </c>
      <c r="B163" s="15" t="s">
        <v>272</v>
      </c>
      <c r="C163" s="67" t="s">
        <v>288</v>
      </c>
      <c r="D163" s="12">
        <v>8066990</v>
      </c>
      <c r="E163" s="14">
        <f t="shared" si="38"/>
        <v>550</v>
      </c>
      <c r="F163" s="13">
        <f t="shared" si="49"/>
        <v>0</v>
      </c>
      <c r="G163" s="13"/>
      <c r="H163" s="13"/>
      <c r="I163" s="14">
        <v>550</v>
      </c>
      <c r="J163" s="14">
        <f t="shared" si="47"/>
        <v>0</v>
      </c>
      <c r="K163" s="13">
        <f t="shared" si="50"/>
        <v>0</v>
      </c>
      <c r="L163" s="13"/>
      <c r="M163" s="13"/>
      <c r="N163" s="14"/>
      <c r="O163" s="27">
        <f t="shared" si="52"/>
        <v>0</v>
      </c>
      <c r="P163" s="13"/>
    </row>
    <row r="164" spans="1:16" ht="27.75" customHeight="1">
      <c r="A164" s="9" t="s">
        <v>4</v>
      </c>
      <c r="B164" s="15" t="s">
        <v>273</v>
      </c>
      <c r="C164" s="68"/>
      <c r="D164" s="12">
        <v>8066991</v>
      </c>
      <c r="E164" s="14">
        <f t="shared" si="38"/>
        <v>570</v>
      </c>
      <c r="F164" s="13">
        <f t="shared" si="49"/>
        <v>0</v>
      </c>
      <c r="G164" s="13"/>
      <c r="H164" s="13"/>
      <c r="I164" s="14">
        <v>570</v>
      </c>
      <c r="J164" s="14">
        <f t="shared" si="47"/>
        <v>0</v>
      </c>
      <c r="K164" s="13">
        <f t="shared" si="50"/>
        <v>0</v>
      </c>
      <c r="L164" s="13"/>
      <c r="M164" s="13"/>
      <c r="N164" s="14"/>
      <c r="O164" s="27">
        <f t="shared" si="52"/>
        <v>0</v>
      </c>
      <c r="P164" s="13"/>
    </row>
    <row r="165" spans="1:16" ht="27.75" customHeight="1">
      <c r="A165" s="9" t="s">
        <v>4</v>
      </c>
      <c r="B165" s="15" t="s">
        <v>274</v>
      </c>
      <c r="C165" s="68"/>
      <c r="D165" s="12">
        <v>8067005</v>
      </c>
      <c r="E165" s="14">
        <f t="shared" si="38"/>
        <v>1200</v>
      </c>
      <c r="F165" s="13">
        <f t="shared" si="49"/>
        <v>0</v>
      </c>
      <c r="G165" s="13"/>
      <c r="H165" s="13"/>
      <c r="I165" s="14">
        <v>1200</v>
      </c>
      <c r="J165" s="14">
        <f t="shared" si="47"/>
        <v>0</v>
      </c>
      <c r="K165" s="13">
        <f t="shared" si="50"/>
        <v>0</v>
      </c>
      <c r="L165" s="13"/>
      <c r="M165" s="13"/>
      <c r="N165" s="14"/>
      <c r="O165" s="27">
        <f t="shared" si="52"/>
        <v>0</v>
      </c>
      <c r="P165" s="13"/>
    </row>
    <row r="166" spans="1:16" ht="27.75" customHeight="1">
      <c r="A166" s="9" t="s">
        <v>4</v>
      </c>
      <c r="B166" s="15" t="s">
        <v>275</v>
      </c>
      <c r="C166" s="68"/>
      <c r="D166" s="12">
        <v>8067006</v>
      </c>
      <c r="E166" s="14">
        <f t="shared" si="38"/>
        <v>1000</v>
      </c>
      <c r="F166" s="13">
        <f t="shared" si="49"/>
        <v>0</v>
      </c>
      <c r="G166" s="13"/>
      <c r="H166" s="13"/>
      <c r="I166" s="14">
        <v>1000</v>
      </c>
      <c r="J166" s="14">
        <f t="shared" si="47"/>
        <v>0</v>
      </c>
      <c r="K166" s="13">
        <f t="shared" si="50"/>
        <v>0</v>
      </c>
      <c r="L166" s="13"/>
      <c r="M166" s="13"/>
      <c r="N166" s="14"/>
      <c r="O166" s="27">
        <f t="shared" si="52"/>
        <v>0</v>
      </c>
      <c r="P166" s="13"/>
    </row>
    <row r="167" spans="1:16" ht="27.75" customHeight="1">
      <c r="A167" s="9" t="s">
        <v>4</v>
      </c>
      <c r="B167" s="15" t="s">
        <v>140</v>
      </c>
      <c r="C167" s="69"/>
      <c r="D167" s="3" t="s">
        <v>190</v>
      </c>
      <c r="E167" s="14">
        <f>F167+I167</f>
        <v>18.072</v>
      </c>
      <c r="F167" s="14">
        <f>G167+H167</f>
        <v>18.072</v>
      </c>
      <c r="G167" s="14">
        <f>18072000/1000000</f>
        <v>18.072</v>
      </c>
      <c r="H167" s="14">
        <v>0</v>
      </c>
      <c r="I167" s="14"/>
      <c r="J167" s="14">
        <f>K167+N167</f>
        <v>0</v>
      </c>
      <c r="K167" s="14">
        <f>L167+M167</f>
        <v>0</v>
      </c>
      <c r="L167" s="14"/>
      <c r="M167" s="14"/>
      <c r="N167" s="14"/>
      <c r="O167" s="27">
        <f t="shared" si="52"/>
        <v>0</v>
      </c>
      <c r="P167" s="14"/>
    </row>
    <row r="168" spans="1:16" s="2" customFormat="1" ht="27.75" customHeight="1">
      <c r="A168" s="6">
        <v>11</v>
      </c>
      <c r="B168" s="19" t="s">
        <v>286</v>
      </c>
      <c r="C168" s="43"/>
      <c r="D168" s="25"/>
      <c r="E168" s="13">
        <f>SUM(E169:E173)</f>
        <v>3523.986761</v>
      </c>
      <c r="F168" s="13">
        <f aca="true" t="shared" si="60" ref="F168:N168">SUM(F169:F173)</f>
        <v>47.986761</v>
      </c>
      <c r="G168" s="13">
        <f t="shared" si="60"/>
        <v>47.986761</v>
      </c>
      <c r="H168" s="13">
        <f t="shared" si="60"/>
        <v>0</v>
      </c>
      <c r="I168" s="13">
        <f t="shared" si="60"/>
        <v>3476</v>
      </c>
      <c r="J168" s="13">
        <f t="shared" si="60"/>
        <v>0</v>
      </c>
      <c r="K168" s="13">
        <f t="shared" si="60"/>
        <v>0</v>
      </c>
      <c r="L168" s="13">
        <f t="shared" si="60"/>
        <v>0</v>
      </c>
      <c r="M168" s="13">
        <f t="shared" si="60"/>
        <v>0</v>
      </c>
      <c r="N168" s="13">
        <f t="shared" si="60"/>
        <v>0</v>
      </c>
      <c r="O168" s="26">
        <f t="shared" si="52"/>
        <v>0</v>
      </c>
      <c r="P168" s="13"/>
    </row>
    <row r="169" spans="1:16" ht="27.75" customHeight="1">
      <c r="A169" s="9" t="s">
        <v>4</v>
      </c>
      <c r="B169" s="15" t="s">
        <v>276</v>
      </c>
      <c r="C169" s="67" t="s">
        <v>286</v>
      </c>
      <c r="D169" s="12">
        <v>8067007</v>
      </c>
      <c r="E169" s="14">
        <f t="shared" si="38"/>
        <v>1000</v>
      </c>
      <c r="F169" s="13">
        <f t="shared" si="49"/>
        <v>0</v>
      </c>
      <c r="G169" s="13"/>
      <c r="H169" s="13"/>
      <c r="I169" s="14">
        <v>1000</v>
      </c>
      <c r="J169" s="14">
        <f t="shared" si="47"/>
        <v>0</v>
      </c>
      <c r="K169" s="13">
        <f t="shared" si="50"/>
        <v>0</v>
      </c>
      <c r="L169" s="13"/>
      <c r="M169" s="13"/>
      <c r="N169" s="14"/>
      <c r="O169" s="27">
        <f t="shared" si="52"/>
        <v>0</v>
      </c>
      <c r="P169" s="13"/>
    </row>
    <row r="170" spans="1:16" ht="27.75" customHeight="1">
      <c r="A170" s="9" t="s">
        <v>4</v>
      </c>
      <c r="B170" s="15" t="s">
        <v>277</v>
      </c>
      <c r="C170" s="68"/>
      <c r="D170" s="12">
        <v>8067009</v>
      </c>
      <c r="E170" s="14">
        <f t="shared" si="38"/>
        <v>700</v>
      </c>
      <c r="F170" s="13">
        <f t="shared" si="49"/>
        <v>0</v>
      </c>
      <c r="G170" s="13"/>
      <c r="H170" s="13"/>
      <c r="I170" s="14">
        <v>700</v>
      </c>
      <c r="J170" s="14">
        <f t="shared" si="47"/>
        <v>0</v>
      </c>
      <c r="K170" s="13">
        <f t="shared" si="50"/>
        <v>0</v>
      </c>
      <c r="L170" s="13"/>
      <c r="M170" s="13"/>
      <c r="N170" s="14"/>
      <c r="O170" s="27">
        <f t="shared" si="52"/>
        <v>0</v>
      </c>
      <c r="P170" s="13"/>
    </row>
    <row r="171" spans="1:16" ht="27.75" customHeight="1">
      <c r="A171" s="9" t="s">
        <v>4</v>
      </c>
      <c r="B171" s="15" t="s">
        <v>278</v>
      </c>
      <c r="C171" s="68"/>
      <c r="D171" s="12">
        <v>8066999</v>
      </c>
      <c r="E171" s="14">
        <f t="shared" si="38"/>
        <v>1000</v>
      </c>
      <c r="F171" s="13">
        <f t="shared" si="49"/>
        <v>0</v>
      </c>
      <c r="G171" s="13"/>
      <c r="H171" s="13"/>
      <c r="I171" s="14">
        <v>1000</v>
      </c>
      <c r="J171" s="14">
        <f t="shared" si="47"/>
        <v>0</v>
      </c>
      <c r="K171" s="13">
        <f t="shared" si="50"/>
        <v>0</v>
      </c>
      <c r="L171" s="13"/>
      <c r="M171" s="13"/>
      <c r="N171" s="14"/>
      <c r="O171" s="27">
        <f t="shared" si="52"/>
        <v>0</v>
      </c>
      <c r="P171" s="13"/>
    </row>
    <row r="172" spans="1:16" ht="27.75" customHeight="1">
      <c r="A172" s="9" t="s">
        <v>4</v>
      </c>
      <c r="B172" s="15" t="s">
        <v>279</v>
      </c>
      <c r="C172" s="68"/>
      <c r="D172" s="12">
        <v>8067008</v>
      </c>
      <c r="E172" s="14">
        <f t="shared" si="38"/>
        <v>776</v>
      </c>
      <c r="F172" s="13">
        <f t="shared" si="49"/>
        <v>0</v>
      </c>
      <c r="G172" s="13"/>
      <c r="H172" s="13"/>
      <c r="I172" s="14">
        <v>776</v>
      </c>
      <c r="J172" s="14">
        <f t="shared" si="47"/>
        <v>0</v>
      </c>
      <c r="K172" s="13">
        <f t="shared" si="50"/>
        <v>0</v>
      </c>
      <c r="L172" s="13"/>
      <c r="M172" s="13"/>
      <c r="N172" s="14"/>
      <c r="O172" s="27">
        <f t="shared" si="52"/>
        <v>0</v>
      </c>
      <c r="P172" s="13"/>
    </row>
    <row r="173" spans="1:16" ht="27.75" customHeight="1">
      <c r="A173" s="9" t="s">
        <v>4</v>
      </c>
      <c r="B173" s="15" t="s">
        <v>138</v>
      </c>
      <c r="C173" s="69"/>
      <c r="D173" s="3" t="s">
        <v>188</v>
      </c>
      <c r="E173" s="14">
        <f>F173+I173</f>
        <v>47.986761</v>
      </c>
      <c r="F173" s="14">
        <f>G173+H173</f>
        <v>47.986761</v>
      </c>
      <c r="G173" s="14">
        <f>47986761/1000000</f>
        <v>47.986761</v>
      </c>
      <c r="H173" s="14">
        <v>0</v>
      </c>
      <c r="I173" s="14"/>
      <c r="J173" s="14">
        <f>K173+N173</f>
        <v>0</v>
      </c>
      <c r="K173" s="14">
        <f>L173+M173</f>
        <v>0</v>
      </c>
      <c r="L173" s="14"/>
      <c r="M173" s="14"/>
      <c r="N173" s="14"/>
      <c r="O173" s="27">
        <f t="shared" si="52"/>
        <v>0</v>
      </c>
      <c r="P173" s="14"/>
    </row>
    <row r="174" spans="1:16" s="2" customFormat="1" ht="27.75" customHeight="1">
      <c r="A174" s="6">
        <v>12</v>
      </c>
      <c r="B174" s="19" t="s">
        <v>291</v>
      </c>
      <c r="C174" s="43"/>
      <c r="D174" s="25"/>
      <c r="E174" s="13">
        <f>SUM(E175:E178)</f>
        <v>3241.21216</v>
      </c>
      <c r="F174" s="13">
        <f aca="true" t="shared" si="61" ref="F174:N174">SUM(F175:F178)</f>
        <v>1.21216</v>
      </c>
      <c r="G174" s="13">
        <f t="shared" si="61"/>
        <v>1.21216</v>
      </c>
      <c r="H174" s="13">
        <f t="shared" si="61"/>
        <v>0</v>
      </c>
      <c r="I174" s="13">
        <f t="shared" si="61"/>
        <v>3240</v>
      </c>
      <c r="J174" s="13">
        <f t="shared" si="61"/>
        <v>831.5335880000001</v>
      </c>
      <c r="K174" s="13">
        <f t="shared" si="61"/>
        <v>0</v>
      </c>
      <c r="L174" s="13">
        <f t="shared" si="61"/>
        <v>0</v>
      </c>
      <c r="M174" s="13">
        <f t="shared" si="61"/>
        <v>0</v>
      </c>
      <c r="N174" s="13">
        <f t="shared" si="61"/>
        <v>831.5335880000001</v>
      </c>
      <c r="O174" s="26">
        <f t="shared" si="52"/>
        <v>25.655018769274275</v>
      </c>
      <c r="P174" s="13"/>
    </row>
    <row r="175" spans="1:16" ht="27.75" customHeight="1">
      <c r="A175" s="9" t="s">
        <v>4</v>
      </c>
      <c r="B175" s="15" t="s">
        <v>280</v>
      </c>
      <c r="C175" s="67" t="s">
        <v>291</v>
      </c>
      <c r="D175" s="12">
        <v>8066849</v>
      </c>
      <c r="E175" s="14">
        <f t="shared" si="38"/>
        <v>1700</v>
      </c>
      <c r="F175" s="13">
        <f t="shared" si="49"/>
        <v>0</v>
      </c>
      <c r="G175" s="13"/>
      <c r="H175" s="13"/>
      <c r="I175" s="14">
        <v>1700</v>
      </c>
      <c r="J175" s="14">
        <f t="shared" si="47"/>
        <v>440.729888</v>
      </c>
      <c r="K175" s="13">
        <f t="shared" si="50"/>
        <v>0</v>
      </c>
      <c r="L175" s="13"/>
      <c r="M175" s="13"/>
      <c r="N175" s="14">
        <v>440.729888</v>
      </c>
      <c r="O175" s="27">
        <f t="shared" si="52"/>
        <v>25.92528752941177</v>
      </c>
      <c r="P175" s="13"/>
    </row>
    <row r="176" spans="1:16" ht="39.75" customHeight="1">
      <c r="A176" s="9" t="s">
        <v>4</v>
      </c>
      <c r="B176" s="15" t="s">
        <v>281</v>
      </c>
      <c r="C176" s="68"/>
      <c r="D176" s="12">
        <v>8067981</v>
      </c>
      <c r="E176" s="14">
        <f t="shared" si="38"/>
        <v>800</v>
      </c>
      <c r="F176" s="13">
        <f t="shared" si="49"/>
        <v>0</v>
      </c>
      <c r="G176" s="13"/>
      <c r="H176" s="13"/>
      <c r="I176" s="14">
        <v>800</v>
      </c>
      <c r="J176" s="14">
        <f t="shared" si="47"/>
        <v>202.4103</v>
      </c>
      <c r="K176" s="13">
        <f t="shared" si="50"/>
        <v>0</v>
      </c>
      <c r="L176" s="13"/>
      <c r="M176" s="13"/>
      <c r="N176" s="14">
        <v>202.4103</v>
      </c>
      <c r="O176" s="27">
        <f t="shared" si="52"/>
        <v>25.3012875</v>
      </c>
      <c r="P176" s="13"/>
    </row>
    <row r="177" spans="1:16" ht="27.75" customHeight="1">
      <c r="A177" s="9" t="s">
        <v>4</v>
      </c>
      <c r="B177" s="15" t="s">
        <v>282</v>
      </c>
      <c r="C177" s="68"/>
      <c r="D177" s="12">
        <v>8067982</v>
      </c>
      <c r="E177" s="14">
        <f t="shared" si="38"/>
        <v>740</v>
      </c>
      <c r="F177" s="13">
        <f t="shared" si="49"/>
        <v>0</v>
      </c>
      <c r="G177" s="13"/>
      <c r="H177" s="13"/>
      <c r="I177" s="14">
        <v>740</v>
      </c>
      <c r="J177" s="14">
        <f t="shared" si="47"/>
        <v>188.3934</v>
      </c>
      <c r="K177" s="13">
        <f t="shared" si="50"/>
        <v>0</v>
      </c>
      <c r="L177" s="13"/>
      <c r="M177" s="13"/>
      <c r="N177" s="14">
        <v>188.3934</v>
      </c>
      <c r="O177" s="27">
        <f t="shared" si="52"/>
        <v>25.45856756756757</v>
      </c>
      <c r="P177" s="13"/>
    </row>
    <row r="178" spans="1:16" ht="25.5">
      <c r="A178" s="9" t="s">
        <v>4</v>
      </c>
      <c r="B178" s="15" t="s">
        <v>144</v>
      </c>
      <c r="C178" s="69"/>
      <c r="D178" s="3" t="s">
        <v>194</v>
      </c>
      <c r="E178" s="14">
        <f>F178+I178</f>
        <v>1.21216</v>
      </c>
      <c r="F178" s="14">
        <f>G178+H178</f>
        <v>1.21216</v>
      </c>
      <c r="G178" s="14">
        <f>1212160/1000000</f>
        <v>1.21216</v>
      </c>
      <c r="H178" s="14">
        <v>0</v>
      </c>
      <c r="I178" s="14"/>
      <c r="J178" s="14">
        <f>K178+N178</f>
        <v>0</v>
      </c>
      <c r="K178" s="14">
        <f>L178+M178</f>
        <v>0</v>
      </c>
      <c r="L178" s="14"/>
      <c r="M178" s="14"/>
      <c r="N178" s="14"/>
      <c r="O178" s="27">
        <f t="shared" si="52"/>
        <v>0</v>
      </c>
      <c r="P178" s="14"/>
    </row>
    <row r="179" spans="1:16" ht="25.5">
      <c r="A179" s="46" t="s">
        <v>8</v>
      </c>
      <c r="B179" s="47" t="s">
        <v>148</v>
      </c>
      <c r="C179" s="48"/>
      <c r="D179" s="35" t="s">
        <v>181</v>
      </c>
      <c r="E179" s="30">
        <f aca="true" t="shared" si="62" ref="E179:N179">SUM(E180:E186)</f>
        <v>16069.884</v>
      </c>
      <c r="F179" s="30">
        <f t="shared" si="62"/>
        <v>965.8839999999999</v>
      </c>
      <c r="G179" s="30">
        <f t="shared" si="62"/>
        <v>19.733</v>
      </c>
      <c r="H179" s="30">
        <f t="shared" si="62"/>
        <v>946.151</v>
      </c>
      <c r="I179" s="30">
        <f t="shared" si="62"/>
        <v>15104</v>
      </c>
      <c r="J179" s="30">
        <f t="shared" si="62"/>
        <v>11126.044000000002</v>
      </c>
      <c r="K179" s="30">
        <f t="shared" si="62"/>
        <v>946.151</v>
      </c>
      <c r="L179" s="30">
        <f t="shared" si="62"/>
        <v>0</v>
      </c>
      <c r="M179" s="30">
        <f t="shared" si="62"/>
        <v>946.151</v>
      </c>
      <c r="N179" s="30">
        <f t="shared" si="62"/>
        <v>10179.893</v>
      </c>
      <c r="O179" s="31">
        <f t="shared" si="52"/>
        <v>69.2353722030601</v>
      </c>
      <c r="P179" s="50"/>
    </row>
    <row r="180" spans="1:16" ht="25.5">
      <c r="A180" s="9">
        <v>1</v>
      </c>
      <c r="B180" s="15" t="s">
        <v>152</v>
      </c>
      <c r="C180" s="67" t="s">
        <v>241</v>
      </c>
      <c r="D180" s="3" t="s">
        <v>198</v>
      </c>
      <c r="E180" s="14">
        <f aca="true" t="shared" si="63" ref="E180:E205">F180+I180</f>
        <v>4913.733</v>
      </c>
      <c r="F180" s="14">
        <f>G180+H180</f>
        <v>19.733</v>
      </c>
      <c r="G180" s="14">
        <f>19733000/1000000</f>
        <v>19.733</v>
      </c>
      <c r="H180" s="14">
        <v>0</v>
      </c>
      <c r="I180" s="14">
        <v>4894</v>
      </c>
      <c r="J180" s="14">
        <f aca="true" t="shared" si="64" ref="J180:J186">K180+N180</f>
        <v>3985.958</v>
      </c>
      <c r="K180" s="14">
        <f>L180+M180</f>
        <v>0</v>
      </c>
      <c r="L180" s="14"/>
      <c r="M180" s="14"/>
      <c r="N180" s="14">
        <v>3985.958</v>
      </c>
      <c r="O180" s="27">
        <f t="shared" si="52"/>
        <v>81.11873396458456</v>
      </c>
      <c r="P180" s="14"/>
    </row>
    <row r="181" spans="1:16" ht="25.5">
      <c r="A181" s="9">
        <v>2</v>
      </c>
      <c r="B181" s="15" t="s">
        <v>153</v>
      </c>
      <c r="C181" s="68"/>
      <c r="D181" s="3" t="s">
        <v>199</v>
      </c>
      <c r="E181" s="14">
        <f t="shared" si="63"/>
        <v>2000</v>
      </c>
      <c r="F181" s="14">
        <f aca="true" t="shared" si="65" ref="F181:F186">G181+H181</f>
        <v>0</v>
      </c>
      <c r="G181" s="14">
        <v>0</v>
      </c>
      <c r="H181" s="14">
        <v>0</v>
      </c>
      <c r="I181" s="14">
        <v>2000</v>
      </c>
      <c r="J181" s="14">
        <f t="shared" si="64"/>
        <v>375.429</v>
      </c>
      <c r="K181" s="14">
        <f aca="true" t="shared" si="66" ref="K181:K186">L181+M181</f>
        <v>0</v>
      </c>
      <c r="L181" s="14"/>
      <c r="M181" s="14"/>
      <c r="N181" s="14">
        <v>375.429</v>
      </c>
      <c r="O181" s="27">
        <f t="shared" si="52"/>
        <v>18.771449999999998</v>
      </c>
      <c r="P181" s="14"/>
    </row>
    <row r="182" spans="1:16" ht="25.5">
      <c r="A182" s="9">
        <v>3</v>
      </c>
      <c r="B182" s="15" t="s">
        <v>154</v>
      </c>
      <c r="C182" s="68"/>
      <c r="D182" s="3" t="s">
        <v>200</v>
      </c>
      <c r="E182" s="14">
        <f t="shared" si="63"/>
        <v>4660.151</v>
      </c>
      <c r="F182" s="14">
        <f t="shared" si="65"/>
        <v>946.151</v>
      </c>
      <c r="G182" s="14">
        <v>0</v>
      </c>
      <c r="H182" s="14">
        <f>946151000/1000000</f>
        <v>946.151</v>
      </c>
      <c r="I182" s="14">
        <v>3714</v>
      </c>
      <c r="J182" s="14">
        <f t="shared" si="64"/>
        <v>4313.279</v>
      </c>
      <c r="K182" s="14">
        <f t="shared" si="66"/>
        <v>946.151</v>
      </c>
      <c r="L182" s="14"/>
      <c r="M182" s="14">
        <v>946.151</v>
      </c>
      <c r="N182" s="14">
        <v>3367.128</v>
      </c>
      <c r="O182" s="27">
        <f t="shared" si="52"/>
        <v>92.55663604033433</v>
      </c>
      <c r="P182" s="14"/>
    </row>
    <row r="183" spans="1:16" ht="25.5">
      <c r="A183" s="9">
        <v>6</v>
      </c>
      <c r="B183" s="15" t="s">
        <v>155</v>
      </c>
      <c r="C183" s="68"/>
      <c r="D183" s="3" t="s">
        <v>201</v>
      </c>
      <c r="E183" s="14">
        <f t="shared" si="63"/>
        <v>999</v>
      </c>
      <c r="F183" s="14">
        <f t="shared" si="65"/>
        <v>0</v>
      </c>
      <c r="G183" s="14">
        <v>0</v>
      </c>
      <c r="H183" s="14">
        <v>0</v>
      </c>
      <c r="I183" s="14">
        <v>999</v>
      </c>
      <c r="J183" s="14">
        <f t="shared" si="64"/>
        <v>398.995</v>
      </c>
      <c r="K183" s="14">
        <f t="shared" si="66"/>
        <v>0</v>
      </c>
      <c r="L183" s="14"/>
      <c r="M183" s="14"/>
      <c r="N183" s="14">
        <v>398.995</v>
      </c>
      <c r="O183" s="27">
        <f t="shared" si="52"/>
        <v>39.93943943943944</v>
      </c>
      <c r="P183" s="14"/>
    </row>
    <row r="184" spans="1:16" ht="25.5">
      <c r="A184" s="9">
        <v>7</v>
      </c>
      <c r="B184" s="15" t="s">
        <v>156</v>
      </c>
      <c r="C184" s="68"/>
      <c r="D184" s="3" t="s">
        <v>202</v>
      </c>
      <c r="E184" s="14">
        <f t="shared" si="63"/>
        <v>999</v>
      </c>
      <c r="F184" s="14">
        <f t="shared" si="65"/>
        <v>0</v>
      </c>
      <c r="G184" s="14">
        <v>0</v>
      </c>
      <c r="H184" s="14">
        <v>0</v>
      </c>
      <c r="I184" s="14">
        <v>999</v>
      </c>
      <c r="J184" s="14">
        <f t="shared" si="64"/>
        <v>446.982</v>
      </c>
      <c r="K184" s="14">
        <f t="shared" si="66"/>
        <v>0</v>
      </c>
      <c r="L184" s="14"/>
      <c r="M184" s="14"/>
      <c r="N184" s="14">
        <v>446.982</v>
      </c>
      <c r="O184" s="27">
        <f t="shared" si="52"/>
        <v>44.742942942942946</v>
      </c>
      <c r="P184" s="14"/>
    </row>
    <row r="185" spans="1:16" ht="25.5">
      <c r="A185" s="9">
        <v>8</v>
      </c>
      <c r="B185" s="15" t="s">
        <v>157</v>
      </c>
      <c r="C185" s="68"/>
      <c r="D185" s="3" t="s">
        <v>203</v>
      </c>
      <c r="E185" s="14">
        <f t="shared" si="63"/>
        <v>1499</v>
      </c>
      <c r="F185" s="14">
        <f t="shared" si="65"/>
        <v>0</v>
      </c>
      <c r="G185" s="14">
        <v>0</v>
      </c>
      <c r="H185" s="14">
        <v>0</v>
      </c>
      <c r="I185" s="14">
        <v>1499</v>
      </c>
      <c r="J185" s="14">
        <f t="shared" si="64"/>
        <v>789.95</v>
      </c>
      <c r="K185" s="14">
        <f t="shared" si="66"/>
        <v>0</v>
      </c>
      <c r="L185" s="14"/>
      <c r="M185" s="14"/>
      <c r="N185" s="14">
        <v>789.95</v>
      </c>
      <c r="O185" s="27">
        <f t="shared" si="52"/>
        <v>52.69846564376252</v>
      </c>
      <c r="P185" s="14"/>
    </row>
    <row r="186" spans="1:16" ht="12.75">
      <c r="A186" s="9">
        <v>10</v>
      </c>
      <c r="B186" s="15" t="s">
        <v>158</v>
      </c>
      <c r="C186" s="69"/>
      <c r="D186" s="3" t="s">
        <v>204</v>
      </c>
      <c r="E186" s="14">
        <f t="shared" si="63"/>
        <v>999</v>
      </c>
      <c r="F186" s="14">
        <f t="shared" si="65"/>
        <v>0</v>
      </c>
      <c r="G186" s="14">
        <v>0</v>
      </c>
      <c r="H186" s="14">
        <v>0</v>
      </c>
      <c r="I186" s="14">
        <v>999</v>
      </c>
      <c r="J186" s="14">
        <f t="shared" si="64"/>
        <v>815.451</v>
      </c>
      <c r="K186" s="14">
        <f t="shared" si="66"/>
        <v>0</v>
      </c>
      <c r="L186" s="14"/>
      <c r="M186" s="14"/>
      <c r="N186" s="14">
        <v>815.451</v>
      </c>
      <c r="O186" s="27">
        <f t="shared" si="52"/>
        <v>81.62672672672673</v>
      </c>
      <c r="P186" s="14"/>
    </row>
    <row r="187" spans="1:16" ht="39">
      <c r="A187" s="46" t="s">
        <v>8</v>
      </c>
      <c r="B187" s="47" t="s">
        <v>159</v>
      </c>
      <c r="C187" s="48"/>
      <c r="D187" s="35" t="s">
        <v>181</v>
      </c>
      <c r="E187" s="30">
        <f aca="true" t="shared" si="67" ref="E187:N187">SUM(E188:E203)</f>
        <v>2988.907189</v>
      </c>
      <c r="F187" s="30">
        <f t="shared" si="67"/>
        <v>696.907189</v>
      </c>
      <c r="G187" s="30">
        <f t="shared" si="67"/>
        <v>696.907189</v>
      </c>
      <c r="H187" s="30">
        <f t="shared" si="67"/>
        <v>0</v>
      </c>
      <c r="I187" s="30">
        <f t="shared" si="67"/>
        <v>2292</v>
      </c>
      <c r="J187" s="30">
        <f t="shared" si="67"/>
        <v>0</v>
      </c>
      <c r="K187" s="30">
        <f t="shared" si="67"/>
        <v>0</v>
      </c>
      <c r="L187" s="30">
        <f t="shared" si="67"/>
        <v>0</v>
      </c>
      <c r="M187" s="30">
        <f t="shared" si="67"/>
        <v>0</v>
      </c>
      <c r="N187" s="30">
        <f t="shared" si="67"/>
        <v>0</v>
      </c>
      <c r="O187" s="31">
        <f t="shared" si="52"/>
        <v>0</v>
      </c>
      <c r="P187" s="30"/>
    </row>
    <row r="188" spans="1:16" ht="25.5">
      <c r="A188" s="9">
        <v>1</v>
      </c>
      <c r="B188" s="15" t="s">
        <v>160</v>
      </c>
      <c r="C188" s="67" t="s">
        <v>292</v>
      </c>
      <c r="D188" s="3" t="s">
        <v>205</v>
      </c>
      <c r="E188" s="14">
        <f t="shared" si="63"/>
        <v>3.361646</v>
      </c>
      <c r="F188" s="14">
        <f>G188+H188</f>
        <v>3.361646</v>
      </c>
      <c r="G188" s="14">
        <f>3361646/1000000</f>
        <v>3.361646</v>
      </c>
      <c r="H188" s="14">
        <v>0</v>
      </c>
      <c r="I188" s="14"/>
      <c r="J188" s="14">
        <f aca="true" t="shared" si="68" ref="J188:J203">K188+N188</f>
        <v>0</v>
      </c>
      <c r="K188" s="14">
        <f>L188+M188</f>
        <v>0</v>
      </c>
      <c r="L188" s="14"/>
      <c r="M188" s="14"/>
      <c r="N188" s="14"/>
      <c r="O188" s="27">
        <f t="shared" si="52"/>
        <v>0</v>
      </c>
      <c r="P188" s="14"/>
    </row>
    <row r="189" spans="1:16" ht="25.5">
      <c r="A189" s="9">
        <v>2</v>
      </c>
      <c r="B189" s="15" t="s">
        <v>161</v>
      </c>
      <c r="C189" s="68"/>
      <c r="D189" s="3" t="s">
        <v>206</v>
      </c>
      <c r="E189" s="14">
        <f t="shared" si="63"/>
        <v>3.449902</v>
      </c>
      <c r="F189" s="14">
        <f aca="true" t="shared" si="69" ref="F189:F203">G189+H189</f>
        <v>3.449902</v>
      </c>
      <c r="G189" s="14">
        <f>3449902/1000000</f>
        <v>3.449902</v>
      </c>
      <c r="H189" s="14">
        <v>0</v>
      </c>
      <c r="I189" s="14"/>
      <c r="J189" s="14">
        <f t="shared" si="68"/>
        <v>0</v>
      </c>
      <c r="K189" s="14">
        <f aca="true" t="shared" si="70" ref="K189:K203">L189+M189</f>
        <v>0</v>
      </c>
      <c r="L189" s="14"/>
      <c r="M189" s="14"/>
      <c r="N189" s="14"/>
      <c r="O189" s="27">
        <f t="shared" si="52"/>
        <v>0</v>
      </c>
      <c r="P189" s="14"/>
    </row>
    <row r="190" spans="1:16" ht="25.5">
      <c r="A190" s="9">
        <v>3</v>
      </c>
      <c r="B190" s="17" t="s">
        <v>162</v>
      </c>
      <c r="C190" s="68"/>
      <c r="D190" s="3" t="s">
        <v>207</v>
      </c>
      <c r="E190" s="14">
        <f t="shared" si="63"/>
        <v>3.327826</v>
      </c>
      <c r="F190" s="14">
        <f t="shared" si="69"/>
        <v>3.327826</v>
      </c>
      <c r="G190" s="14">
        <f>3327826/1000000</f>
        <v>3.327826</v>
      </c>
      <c r="H190" s="14">
        <v>0</v>
      </c>
      <c r="I190" s="14"/>
      <c r="J190" s="14">
        <f t="shared" si="68"/>
        <v>0</v>
      </c>
      <c r="K190" s="14">
        <f t="shared" si="70"/>
        <v>0</v>
      </c>
      <c r="L190" s="14"/>
      <c r="M190" s="14"/>
      <c r="N190" s="14"/>
      <c r="O190" s="27">
        <f t="shared" si="52"/>
        <v>0</v>
      </c>
      <c r="P190" s="14"/>
    </row>
    <row r="191" spans="1:16" ht="25.5">
      <c r="A191" s="9">
        <v>4</v>
      </c>
      <c r="B191" s="15" t="s">
        <v>163</v>
      </c>
      <c r="C191" s="68"/>
      <c r="D191" s="3" t="s">
        <v>208</v>
      </c>
      <c r="E191" s="14">
        <f t="shared" si="63"/>
        <v>3.394</v>
      </c>
      <c r="F191" s="14">
        <f t="shared" si="69"/>
        <v>3.394</v>
      </c>
      <c r="G191" s="14">
        <f>3394000/1000000</f>
        <v>3.394</v>
      </c>
      <c r="H191" s="14">
        <v>0</v>
      </c>
      <c r="I191" s="14"/>
      <c r="J191" s="14">
        <f t="shared" si="68"/>
        <v>0</v>
      </c>
      <c r="K191" s="14">
        <f t="shared" si="70"/>
        <v>0</v>
      </c>
      <c r="L191" s="14"/>
      <c r="M191" s="14"/>
      <c r="N191" s="14"/>
      <c r="O191" s="27">
        <f t="shared" si="52"/>
        <v>0</v>
      </c>
      <c r="P191" s="14"/>
    </row>
    <row r="192" spans="1:16" ht="25.5">
      <c r="A192" s="9">
        <v>5</v>
      </c>
      <c r="B192" s="15" t="s">
        <v>164</v>
      </c>
      <c r="C192" s="68"/>
      <c r="D192" s="3" t="s">
        <v>209</v>
      </c>
      <c r="E192" s="14">
        <f t="shared" si="63"/>
        <v>2.488697</v>
      </c>
      <c r="F192" s="14">
        <f t="shared" si="69"/>
        <v>2.488697</v>
      </c>
      <c r="G192" s="14">
        <f>2488697/1000000</f>
        <v>2.488697</v>
      </c>
      <c r="H192" s="14">
        <v>0</v>
      </c>
      <c r="I192" s="14"/>
      <c r="J192" s="14">
        <f t="shared" si="68"/>
        <v>0</v>
      </c>
      <c r="K192" s="14">
        <f t="shared" si="70"/>
        <v>0</v>
      </c>
      <c r="L192" s="14"/>
      <c r="M192" s="14"/>
      <c r="N192" s="14"/>
      <c r="O192" s="27">
        <f t="shared" si="52"/>
        <v>0</v>
      </c>
      <c r="P192" s="14"/>
    </row>
    <row r="193" spans="1:16" ht="25.5">
      <c r="A193" s="9">
        <v>6</v>
      </c>
      <c r="B193" s="15" t="s">
        <v>165</v>
      </c>
      <c r="C193" s="68"/>
      <c r="D193" s="3" t="s">
        <v>210</v>
      </c>
      <c r="E193" s="14">
        <f t="shared" si="63"/>
        <v>2.912783</v>
      </c>
      <c r="F193" s="14">
        <f t="shared" si="69"/>
        <v>2.912783</v>
      </c>
      <c r="G193" s="14">
        <f>2912783/1000000</f>
        <v>2.912783</v>
      </c>
      <c r="H193" s="14">
        <v>0</v>
      </c>
      <c r="I193" s="14"/>
      <c r="J193" s="14">
        <f t="shared" si="68"/>
        <v>0</v>
      </c>
      <c r="K193" s="14">
        <f t="shared" si="70"/>
        <v>0</v>
      </c>
      <c r="L193" s="14"/>
      <c r="M193" s="14"/>
      <c r="N193" s="14"/>
      <c r="O193" s="27">
        <f aca="true" t="shared" si="71" ref="O193:O205">J193/E193*100</f>
        <v>0</v>
      </c>
      <c r="P193" s="14"/>
    </row>
    <row r="194" spans="1:16" ht="25.5">
      <c r="A194" s="9">
        <v>7</v>
      </c>
      <c r="B194" s="15" t="s">
        <v>166</v>
      </c>
      <c r="C194" s="68"/>
      <c r="D194" s="3" t="s">
        <v>211</v>
      </c>
      <c r="E194" s="14">
        <f t="shared" si="63"/>
        <v>3.046587</v>
      </c>
      <c r="F194" s="14">
        <f t="shared" si="69"/>
        <v>3.046587</v>
      </c>
      <c r="G194" s="14">
        <f>3046587/1000000</f>
        <v>3.046587</v>
      </c>
      <c r="H194" s="14">
        <v>0</v>
      </c>
      <c r="I194" s="14"/>
      <c r="J194" s="14">
        <f t="shared" si="68"/>
        <v>0</v>
      </c>
      <c r="K194" s="14">
        <f t="shared" si="70"/>
        <v>0</v>
      </c>
      <c r="L194" s="14"/>
      <c r="M194" s="14"/>
      <c r="N194" s="14"/>
      <c r="O194" s="27">
        <f t="shared" si="71"/>
        <v>0</v>
      </c>
      <c r="P194" s="14"/>
    </row>
    <row r="195" spans="1:16" ht="25.5">
      <c r="A195" s="9">
        <v>8</v>
      </c>
      <c r="B195" s="15" t="s">
        <v>167</v>
      </c>
      <c r="C195" s="68"/>
      <c r="D195" s="3" t="s">
        <v>212</v>
      </c>
      <c r="E195" s="14">
        <f t="shared" si="63"/>
        <v>2.513414</v>
      </c>
      <c r="F195" s="14">
        <f t="shared" si="69"/>
        <v>2.513414</v>
      </c>
      <c r="G195" s="14">
        <f>2513414/1000000</f>
        <v>2.513414</v>
      </c>
      <c r="H195" s="14">
        <v>0</v>
      </c>
      <c r="I195" s="14"/>
      <c r="J195" s="14">
        <f t="shared" si="68"/>
        <v>0</v>
      </c>
      <c r="K195" s="14">
        <f t="shared" si="70"/>
        <v>0</v>
      </c>
      <c r="L195" s="14"/>
      <c r="M195" s="14"/>
      <c r="N195" s="14"/>
      <c r="O195" s="27">
        <f t="shared" si="71"/>
        <v>0</v>
      </c>
      <c r="P195" s="14"/>
    </row>
    <row r="196" spans="1:16" ht="25.5">
      <c r="A196" s="9">
        <v>9</v>
      </c>
      <c r="B196" s="15" t="s">
        <v>168</v>
      </c>
      <c r="C196" s="68"/>
      <c r="D196" s="3" t="s">
        <v>213</v>
      </c>
      <c r="E196" s="14">
        <f t="shared" si="63"/>
        <v>3.400272</v>
      </c>
      <c r="F196" s="14">
        <f t="shared" si="69"/>
        <v>3.400272</v>
      </c>
      <c r="G196" s="14">
        <f>3400272/1000000</f>
        <v>3.400272</v>
      </c>
      <c r="H196" s="14">
        <v>0</v>
      </c>
      <c r="I196" s="14"/>
      <c r="J196" s="14">
        <f t="shared" si="68"/>
        <v>0</v>
      </c>
      <c r="K196" s="14">
        <f t="shared" si="70"/>
        <v>0</v>
      </c>
      <c r="L196" s="14"/>
      <c r="M196" s="14"/>
      <c r="N196" s="14"/>
      <c r="O196" s="27">
        <f t="shared" si="71"/>
        <v>0</v>
      </c>
      <c r="P196" s="14"/>
    </row>
    <row r="197" spans="1:16" ht="25.5">
      <c r="A197" s="9">
        <v>10</v>
      </c>
      <c r="B197" s="15" t="s">
        <v>169</v>
      </c>
      <c r="C197" s="68"/>
      <c r="D197" s="3" t="s">
        <v>214</v>
      </c>
      <c r="E197" s="14">
        <f t="shared" si="63"/>
        <v>3.394</v>
      </c>
      <c r="F197" s="14">
        <f t="shared" si="69"/>
        <v>3.394</v>
      </c>
      <c r="G197" s="14">
        <f>3394000/1000000</f>
        <v>3.394</v>
      </c>
      <c r="H197" s="14">
        <v>0</v>
      </c>
      <c r="I197" s="14"/>
      <c r="J197" s="14">
        <f t="shared" si="68"/>
        <v>0</v>
      </c>
      <c r="K197" s="14">
        <f t="shared" si="70"/>
        <v>0</v>
      </c>
      <c r="L197" s="14"/>
      <c r="M197" s="14"/>
      <c r="N197" s="14"/>
      <c r="O197" s="27">
        <f t="shared" si="71"/>
        <v>0</v>
      </c>
      <c r="P197" s="14"/>
    </row>
    <row r="198" spans="1:16" ht="25.5">
      <c r="A198" s="9">
        <v>11</v>
      </c>
      <c r="B198" s="15" t="s">
        <v>170</v>
      </c>
      <c r="C198" s="68"/>
      <c r="D198" s="3" t="s">
        <v>215</v>
      </c>
      <c r="E198" s="14">
        <f t="shared" si="63"/>
        <v>2.827387</v>
      </c>
      <c r="F198" s="14">
        <f t="shared" si="69"/>
        <v>2.827387</v>
      </c>
      <c r="G198" s="14">
        <f>2827387/1000000</f>
        <v>2.827387</v>
      </c>
      <c r="H198" s="14">
        <v>0</v>
      </c>
      <c r="I198" s="14"/>
      <c r="J198" s="14">
        <f t="shared" si="68"/>
        <v>0</v>
      </c>
      <c r="K198" s="14">
        <f t="shared" si="70"/>
        <v>0</v>
      </c>
      <c r="L198" s="14"/>
      <c r="M198" s="14"/>
      <c r="N198" s="14"/>
      <c r="O198" s="27">
        <f t="shared" si="71"/>
        <v>0</v>
      </c>
      <c r="P198" s="14"/>
    </row>
    <row r="199" spans="1:16" ht="25.5">
      <c r="A199" s="9">
        <v>12</v>
      </c>
      <c r="B199" s="15" t="s">
        <v>171</v>
      </c>
      <c r="C199" s="68"/>
      <c r="D199" s="3" t="s">
        <v>216</v>
      </c>
      <c r="E199" s="14">
        <f t="shared" si="63"/>
        <v>3.494193</v>
      </c>
      <c r="F199" s="14">
        <f t="shared" si="69"/>
        <v>3.494193</v>
      </c>
      <c r="G199" s="14">
        <f>3494193/1000000</f>
        <v>3.494193</v>
      </c>
      <c r="H199" s="14">
        <v>0</v>
      </c>
      <c r="I199" s="14"/>
      <c r="J199" s="14">
        <f t="shared" si="68"/>
        <v>0</v>
      </c>
      <c r="K199" s="14">
        <f t="shared" si="70"/>
        <v>0</v>
      </c>
      <c r="L199" s="14"/>
      <c r="M199" s="14"/>
      <c r="N199" s="14"/>
      <c r="O199" s="27">
        <f t="shared" si="71"/>
        <v>0</v>
      </c>
      <c r="P199" s="14"/>
    </row>
    <row r="200" spans="1:16" ht="25.5">
      <c r="A200" s="9">
        <v>13</v>
      </c>
      <c r="B200" s="15" t="s">
        <v>172</v>
      </c>
      <c r="C200" s="68"/>
      <c r="D200" s="3" t="s">
        <v>217</v>
      </c>
      <c r="E200" s="14">
        <f t="shared" si="63"/>
        <v>3.935702</v>
      </c>
      <c r="F200" s="14">
        <f t="shared" si="69"/>
        <v>3.935702</v>
      </c>
      <c r="G200" s="14">
        <f>3935702/1000000</f>
        <v>3.935702</v>
      </c>
      <c r="H200" s="14">
        <v>0</v>
      </c>
      <c r="I200" s="14"/>
      <c r="J200" s="14">
        <f t="shared" si="68"/>
        <v>0</v>
      </c>
      <c r="K200" s="14">
        <f t="shared" si="70"/>
        <v>0</v>
      </c>
      <c r="L200" s="14"/>
      <c r="M200" s="14"/>
      <c r="N200" s="14"/>
      <c r="O200" s="27">
        <f t="shared" si="71"/>
        <v>0</v>
      </c>
      <c r="P200" s="14"/>
    </row>
    <row r="201" spans="1:16" ht="25.5">
      <c r="A201" s="9">
        <v>14</v>
      </c>
      <c r="B201" s="15" t="s">
        <v>173</v>
      </c>
      <c r="C201" s="68"/>
      <c r="D201" s="3" t="s">
        <v>218</v>
      </c>
      <c r="E201" s="14">
        <f t="shared" si="63"/>
        <v>3.27406</v>
      </c>
      <c r="F201" s="14">
        <f t="shared" si="69"/>
        <v>3.27406</v>
      </c>
      <c r="G201" s="14">
        <f>3274060/1000000</f>
        <v>3.27406</v>
      </c>
      <c r="H201" s="14">
        <v>0</v>
      </c>
      <c r="I201" s="14"/>
      <c r="J201" s="14">
        <f t="shared" si="68"/>
        <v>0</v>
      </c>
      <c r="K201" s="14">
        <f t="shared" si="70"/>
        <v>0</v>
      </c>
      <c r="L201" s="14"/>
      <c r="M201" s="14"/>
      <c r="N201" s="14"/>
      <c r="O201" s="27">
        <f t="shared" si="71"/>
        <v>0</v>
      </c>
      <c r="P201" s="14"/>
    </row>
    <row r="202" spans="1:16" ht="25.5">
      <c r="A202" s="9">
        <v>15</v>
      </c>
      <c r="B202" s="15" t="s">
        <v>174</v>
      </c>
      <c r="C202" s="68"/>
      <c r="D202" s="3" t="s">
        <v>219</v>
      </c>
      <c r="E202" s="14">
        <f t="shared" si="63"/>
        <v>3.43292</v>
      </c>
      <c r="F202" s="14">
        <f t="shared" si="69"/>
        <v>3.43292</v>
      </c>
      <c r="G202" s="14">
        <f>3432920/1000000</f>
        <v>3.43292</v>
      </c>
      <c r="H202" s="14">
        <v>0</v>
      </c>
      <c r="I202" s="14"/>
      <c r="J202" s="14">
        <f t="shared" si="68"/>
        <v>0</v>
      </c>
      <c r="K202" s="14">
        <f t="shared" si="70"/>
        <v>0</v>
      </c>
      <c r="L202" s="14"/>
      <c r="M202" s="14"/>
      <c r="N202" s="14"/>
      <c r="O202" s="27">
        <f t="shared" si="71"/>
        <v>0</v>
      </c>
      <c r="P202" s="14"/>
    </row>
    <row r="203" spans="1:16" ht="25.5">
      <c r="A203" s="9">
        <v>16</v>
      </c>
      <c r="B203" s="17" t="s">
        <v>127</v>
      </c>
      <c r="C203" s="69"/>
      <c r="D203" s="3"/>
      <c r="E203" s="14">
        <f t="shared" si="63"/>
        <v>2940.6538</v>
      </c>
      <c r="F203" s="14">
        <f t="shared" si="69"/>
        <v>648.6538</v>
      </c>
      <c r="G203" s="14">
        <f>648653800/1000000</f>
        <v>648.6538</v>
      </c>
      <c r="H203" s="14">
        <v>0</v>
      </c>
      <c r="I203" s="14">
        <v>2292</v>
      </c>
      <c r="J203" s="14">
        <f t="shared" si="68"/>
        <v>0</v>
      </c>
      <c r="K203" s="14">
        <f t="shared" si="70"/>
        <v>0</v>
      </c>
      <c r="L203" s="14"/>
      <c r="M203" s="14"/>
      <c r="N203" s="14"/>
      <c r="O203" s="27">
        <f t="shared" si="71"/>
        <v>0</v>
      </c>
      <c r="P203" s="14"/>
    </row>
    <row r="204" spans="1:16" ht="51.75">
      <c r="A204" s="46" t="s">
        <v>8</v>
      </c>
      <c r="B204" s="47" t="s">
        <v>175</v>
      </c>
      <c r="C204" s="48"/>
      <c r="D204" s="35" t="s">
        <v>181</v>
      </c>
      <c r="E204" s="30">
        <f aca="true" t="shared" si="72" ref="E204:N204">E205</f>
        <v>1500.351948</v>
      </c>
      <c r="F204" s="30">
        <f t="shared" si="72"/>
        <v>1500.351948</v>
      </c>
      <c r="G204" s="30">
        <f t="shared" si="72"/>
        <v>1500.351948</v>
      </c>
      <c r="H204" s="30">
        <f t="shared" si="72"/>
        <v>0</v>
      </c>
      <c r="I204" s="30">
        <f t="shared" si="72"/>
        <v>0</v>
      </c>
      <c r="J204" s="30">
        <f t="shared" si="72"/>
        <v>0</v>
      </c>
      <c r="K204" s="30">
        <f t="shared" si="72"/>
        <v>0</v>
      </c>
      <c r="L204" s="30">
        <f t="shared" si="72"/>
        <v>0</v>
      </c>
      <c r="M204" s="30">
        <f t="shared" si="72"/>
        <v>0</v>
      </c>
      <c r="N204" s="30">
        <f t="shared" si="72"/>
        <v>0</v>
      </c>
      <c r="O204" s="31">
        <f t="shared" si="71"/>
        <v>0</v>
      </c>
      <c r="P204" s="30"/>
    </row>
    <row r="205" spans="1:16" ht="39">
      <c r="A205" s="9">
        <v>1</v>
      </c>
      <c r="B205" s="17" t="s">
        <v>176</v>
      </c>
      <c r="C205" s="18" t="s">
        <v>292</v>
      </c>
      <c r="D205" s="3" t="s">
        <v>220</v>
      </c>
      <c r="E205" s="14">
        <f t="shared" si="63"/>
        <v>1500.351948</v>
      </c>
      <c r="F205" s="14">
        <f>G205+H205</f>
        <v>1500.351948</v>
      </c>
      <c r="G205" s="14">
        <f>1500351948/1000000</f>
        <v>1500.351948</v>
      </c>
      <c r="H205" s="14">
        <v>0</v>
      </c>
      <c r="I205" s="14"/>
      <c r="J205" s="14">
        <f>K205+N205</f>
        <v>0</v>
      </c>
      <c r="K205" s="14">
        <f>L205+M205</f>
        <v>0</v>
      </c>
      <c r="L205" s="14"/>
      <c r="M205" s="14"/>
      <c r="N205" s="14"/>
      <c r="O205" s="27">
        <f t="shared" si="71"/>
        <v>0</v>
      </c>
      <c r="P205" s="14"/>
    </row>
  </sheetData>
  <sheetProtection/>
  <mergeCells count="50">
    <mergeCell ref="P50:P51"/>
    <mergeCell ref="P94:P95"/>
    <mergeCell ref="C154:C156"/>
    <mergeCell ref="C163:C167"/>
    <mergeCell ref="C158:C161"/>
    <mergeCell ref="O6:P6"/>
    <mergeCell ref="C130:C134"/>
    <mergeCell ref="C136:C138"/>
    <mergeCell ref="C123:C124"/>
    <mergeCell ref="C140:C141"/>
    <mergeCell ref="C58:C60"/>
    <mergeCell ref="A4:P4"/>
    <mergeCell ref="A1:B1"/>
    <mergeCell ref="A2:B2"/>
    <mergeCell ref="A5:P5"/>
    <mergeCell ref="P7:P9"/>
    <mergeCell ref="N8:N9"/>
    <mergeCell ref="O7:O9"/>
    <mergeCell ref="K8:K9"/>
    <mergeCell ref="L8:M8"/>
    <mergeCell ref="P100:P108"/>
    <mergeCell ref="C110:C113"/>
    <mergeCell ref="C7:C9"/>
    <mergeCell ref="J7:J9"/>
    <mergeCell ref="K7:N7"/>
    <mergeCell ref="C53:C56"/>
    <mergeCell ref="C67:C68"/>
    <mergeCell ref="C70:C79"/>
    <mergeCell ref="F7:I7"/>
    <mergeCell ref="C87:C88"/>
    <mergeCell ref="G8:H8"/>
    <mergeCell ref="E7:E9"/>
    <mergeCell ref="F8:F9"/>
    <mergeCell ref="I8:I9"/>
    <mergeCell ref="C180:C186"/>
    <mergeCell ref="C14:C39"/>
    <mergeCell ref="C117:C119"/>
    <mergeCell ref="C94:C95"/>
    <mergeCell ref="C81:C85"/>
    <mergeCell ref="C50:C51"/>
    <mergeCell ref="C188:C203"/>
    <mergeCell ref="A7:A9"/>
    <mergeCell ref="B7:B9"/>
    <mergeCell ref="D7:D9"/>
    <mergeCell ref="C45:C46"/>
    <mergeCell ref="C143:C146"/>
    <mergeCell ref="C169:C173"/>
    <mergeCell ref="C175:C178"/>
    <mergeCell ref="C148:C152"/>
    <mergeCell ref="C126:C128"/>
  </mergeCells>
  <printOptions/>
  <pageMargins left="0.2755905511811024" right="0.2362204724409449" top="0.3937007874015748" bottom="0.3937007874015748" header="0.31496062992125984" footer="0.31496062992125984"/>
  <pageSetup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DELL</cp:lastModifiedBy>
  <cp:lastPrinted>2024-05-08T03:59:50Z</cp:lastPrinted>
  <dcterms:created xsi:type="dcterms:W3CDTF">1996-10-14T23:33:28Z</dcterms:created>
  <dcterms:modified xsi:type="dcterms:W3CDTF">2024-05-21T09:06:48Z</dcterms:modified>
  <cp:category/>
  <cp:version/>
  <cp:contentType/>
  <cp:contentStatus/>
</cp:coreProperties>
</file>