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D:\2024\Chuyên môn\THam mưu UB HUYỆN\VB trình kỳ họp HĐND huyện\BC Công tác dân tộc 2024\"/>
    </mc:Choice>
  </mc:AlternateContent>
  <xr:revisionPtr revIDLastSave="0" documentId="13_ncr:1_{AB9343C2-20FE-47DE-A21B-74728D55DF57}" xr6:coauthVersionLast="47" xr6:coauthVersionMax="47" xr10:uidLastSave="{00000000-0000-0000-0000-000000000000}"/>
  <bookViews>
    <workbookView xWindow="-120" yWindow="-120" windowWidth="20730" windowHeight="11040" activeTab="1" xr2:uid="{00000000-000D-0000-FFFF-FFFF00000000}"/>
  </bookViews>
  <sheets>
    <sheet name="phu luc 01" sheetId="1" r:id="rId1"/>
    <sheet name="Phu luc 02" sheetId="2" r:id="rId2"/>
    <sheet name="Phu luc 03" sheetId="4" r:id="rId3"/>
    <sheet name="Phu luc 04" sheetId="3" r:id="rId4"/>
  </sheets>
  <externalReferences>
    <externalReference r:id="rId5"/>
    <externalReference r:id="rId6"/>
    <externalReference r:id="rId7"/>
    <externalReference r:id="rId8"/>
    <externalReference r:id="rId9"/>
    <externalReference r:id="rId10"/>
    <externalReference r:id="rId11"/>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50" i="2" l="1"/>
  <c r="AB50" i="2"/>
  <c r="AA50" i="2"/>
  <c r="W50" i="2"/>
  <c r="Z50" i="2" s="1"/>
  <c r="U50" i="2"/>
  <c r="T50" i="2"/>
  <c r="R50" i="2" s="1"/>
  <c r="Q50" i="2" s="1"/>
  <c r="X50" i="2" s="1"/>
  <c r="N50" i="2"/>
  <c r="K50" i="2"/>
  <c r="J50" i="2" s="1"/>
  <c r="I50" i="2"/>
  <c r="G50" i="2"/>
  <c r="F50" i="2"/>
  <c r="D50" i="2" s="1"/>
  <c r="C50" i="2" s="1"/>
  <c r="AE49" i="2"/>
  <c r="AB49" i="2"/>
  <c r="AA49" i="2" s="1"/>
  <c r="W49" i="2"/>
  <c r="V49" i="2"/>
  <c r="T49" i="2"/>
  <c r="S49" i="2"/>
  <c r="N49" i="2"/>
  <c r="L49" i="2"/>
  <c r="K49" i="2" s="1"/>
  <c r="J49" i="2" s="1"/>
  <c r="I49" i="2"/>
  <c r="H49" i="2"/>
  <c r="G49" i="2" s="1"/>
  <c r="F49" i="2"/>
  <c r="E49" i="2"/>
  <c r="D49" i="2"/>
  <c r="C49" i="2" s="1"/>
  <c r="AE48" i="2"/>
  <c r="AB48" i="2"/>
  <c r="AA48" i="2"/>
  <c r="U48" i="2"/>
  <c r="R48" i="2"/>
  <c r="Q48" i="2" s="1"/>
  <c r="N48" i="2"/>
  <c r="J48" i="2" s="1"/>
  <c r="K48" i="2"/>
  <c r="G48" i="2"/>
  <c r="D48" i="2"/>
  <c r="C48" i="2" s="1"/>
  <c r="AE47" i="2"/>
  <c r="AB47" i="2"/>
  <c r="AA47" i="2"/>
  <c r="U47" i="2"/>
  <c r="T47" i="2"/>
  <c r="P47" i="2"/>
  <c r="N47" i="2"/>
  <c r="K47" i="2"/>
  <c r="I47" i="2"/>
  <c r="G47" i="2"/>
  <c r="F47" i="2"/>
  <c r="D47" i="2"/>
  <c r="C47" i="2" s="1"/>
  <c r="AE46" i="2"/>
  <c r="AA46" i="2" s="1"/>
  <c r="AB46" i="2"/>
  <c r="AB45" i="2" s="1"/>
  <c r="U46" i="2"/>
  <c r="R46" i="2"/>
  <c r="Q46" i="2" s="1"/>
  <c r="N46" i="2"/>
  <c r="K46" i="2"/>
  <c r="J46" i="2"/>
  <c r="G46" i="2"/>
  <c r="D46" i="2"/>
  <c r="C46" i="2" s="1"/>
  <c r="C45" i="2" s="1"/>
  <c r="C44" i="2" s="1"/>
  <c r="AD45" i="2"/>
  <c r="AC45" i="2"/>
  <c r="V45" i="2"/>
  <c r="V44" i="2" s="1"/>
  <c r="U45" i="2"/>
  <c r="S45" i="2"/>
  <c r="O45" i="2"/>
  <c r="L45" i="2"/>
  <c r="K45" i="2"/>
  <c r="K44" i="2" s="1"/>
  <c r="I45" i="2"/>
  <c r="H45" i="2"/>
  <c r="H44" i="2" s="1"/>
  <c r="G45" i="2"/>
  <c r="G44" i="2" s="1"/>
  <c r="F45" i="2"/>
  <c r="F44" i="2" s="1"/>
  <c r="E45" i="2"/>
  <c r="D45" i="2"/>
  <c r="D44" i="2" s="1"/>
  <c r="AD44" i="2"/>
  <c r="AC44" i="2"/>
  <c r="AB44" i="2"/>
  <c r="P44" i="2"/>
  <c r="O44" i="2"/>
  <c r="M44" i="2"/>
  <c r="L44" i="2"/>
  <c r="I44" i="2"/>
  <c r="E44" i="2"/>
  <c r="AE43" i="2"/>
  <c r="AB43" i="2"/>
  <c r="AA43" i="2"/>
  <c r="W43" i="2"/>
  <c r="Z43" i="2" s="1"/>
  <c r="U43" i="2"/>
  <c r="Q43" i="2" s="1"/>
  <c r="X43" i="2" s="1"/>
  <c r="T43" i="2"/>
  <c r="R43" i="2" s="1"/>
  <c r="N43" i="2"/>
  <c r="K43" i="2"/>
  <c r="J43" i="2" s="1"/>
  <c r="I43" i="2"/>
  <c r="I41" i="2" s="1"/>
  <c r="G43" i="2"/>
  <c r="F43" i="2"/>
  <c r="D43" i="2" s="1"/>
  <c r="D41" i="2" s="1"/>
  <c r="C43" i="2"/>
  <c r="AE42" i="2"/>
  <c r="AB42" i="2"/>
  <c r="AA42" i="2" s="1"/>
  <c r="AA41" i="2" s="1"/>
  <c r="U42" i="2"/>
  <c r="R42" i="2"/>
  <c r="N42" i="2"/>
  <c r="K42" i="2"/>
  <c r="J42" i="2" s="1"/>
  <c r="J41" i="2" s="1"/>
  <c r="G42" i="2"/>
  <c r="D42" i="2"/>
  <c r="C42" i="2"/>
  <c r="C41" i="2" s="1"/>
  <c r="AE41" i="2"/>
  <c r="AD41" i="2"/>
  <c r="AC41" i="2"/>
  <c r="AB41" i="2"/>
  <c r="W41" i="2"/>
  <c r="V41" i="2"/>
  <c r="S41" i="2"/>
  <c r="P41" i="2"/>
  <c r="O41" i="2"/>
  <c r="N41" i="2"/>
  <c r="M41" i="2"/>
  <c r="L41" i="2"/>
  <c r="H41" i="2"/>
  <c r="G41" i="2"/>
  <c r="F41" i="2"/>
  <c r="E41" i="2"/>
  <c r="AE40" i="2"/>
  <c r="AB40" i="2"/>
  <c r="Z40" i="2"/>
  <c r="Y40" i="2"/>
  <c r="U40" i="2"/>
  <c r="R40" i="2"/>
  <c r="Q40" i="2"/>
  <c r="N40" i="2"/>
  <c r="K40" i="2"/>
  <c r="J40" i="2"/>
  <c r="G40" i="2"/>
  <c r="D40" i="2"/>
  <c r="AE39" i="2"/>
  <c r="AE36" i="2" s="1"/>
  <c r="AA36" i="2" s="1"/>
  <c r="AB39" i="2"/>
  <c r="Z39" i="2"/>
  <c r="Y39" i="2"/>
  <c r="U39" i="2"/>
  <c r="R39" i="2"/>
  <c r="Q39" i="2"/>
  <c r="N39" i="2"/>
  <c r="K39" i="2"/>
  <c r="G39" i="2"/>
  <c r="D39" i="2"/>
  <c r="AE38" i="2"/>
  <c r="AB38" i="2"/>
  <c r="AA38" i="2"/>
  <c r="Z38" i="2"/>
  <c r="Y38" i="2"/>
  <c r="U38" i="2"/>
  <c r="R38" i="2"/>
  <c r="N38" i="2"/>
  <c r="K38" i="2"/>
  <c r="G38" i="2"/>
  <c r="D38" i="2"/>
  <c r="C38" i="2"/>
  <c r="AE37" i="2"/>
  <c r="AB37" i="2"/>
  <c r="AA37" i="2"/>
  <c r="Z37" i="2"/>
  <c r="Y37" i="2"/>
  <c r="U37" i="2"/>
  <c r="R37" i="2"/>
  <c r="N37" i="2"/>
  <c r="K37" i="2"/>
  <c r="J37" i="2"/>
  <c r="G37" i="2"/>
  <c r="D37" i="2"/>
  <c r="C37" i="2"/>
  <c r="AD36" i="2"/>
  <c r="AC36" i="2"/>
  <c r="AB36" i="2"/>
  <c r="W36" i="2"/>
  <c r="U36" i="2"/>
  <c r="Q36" i="2" s="1"/>
  <c r="T36" i="2"/>
  <c r="R36" i="2" s="1"/>
  <c r="P36" i="2"/>
  <c r="N36" i="2" s="1"/>
  <c r="J36" i="2" s="1"/>
  <c r="K36" i="2"/>
  <c r="I36" i="2"/>
  <c r="G36" i="2" s="1"/>
  <c r="F36" i="2"/>
  <c r="D36" i="2"/>
  <c r="AE34" i="2"/>
  <c r="AB34" i="2"/>
  <c r="AA34" i="2"/>
  <c r="W34" i="2"/>
  <c r="Z34" i="2" s="1"/>
  <c r="V34" i="2"/>
  <c r="S34" i="2"/>
  <c r="R34" i="2" s="1"/>
  <c r="P34" i="2"/>
  <c r="O34" i="2"/>
  <c r="N34" i="2"/>
  <c r="M34" i="2"/>
  <c r="L34" i="2"/>
  <c r="K34" i="2"/>
  <c r="J34" i="2"/>
  <c r="I34" i="2"/>
  <c r="H34" i="2"/>
  <c r="G34" i="2"/>
  <c r="E34" i="2"/>
  <c r="D34" i="2" s="1"/>
  <c r="C34" i="2" s="1"/>
  <c r="AE33" i="2"/>
  <c r="AB33" i="2"/>
  <c r="AA33" i="2" s="1"/>
  <c r="W33" i="2"/>
  <c r="T33" i="2"/>
  <c r="R33" i="2"/>
  <c r="N33" i="2"/>
  <c r="K33" i="2"/>
  <c r="J33" i="2"/>
  <c r="I33" i="2"/>
  <c r="F33" i="2"/>
  <c r="D33" i="2"/>
  <c r="AC32" i="2"/>
  <c r="AA32" i="2" s="1"/>
  <c r="Z32" i="2"/>
  <c r="W32" i="2"/>
  <c r="U32" i="2" s="1"/>
  <c r="T32" i="2"/>
  <c r="R32" i="2"/>
  <c r="Q32" i="2" s="1"/>
  <c r="K32" i="2"/>
  <c r="J32" i="2"/>
  <c r="G32" i="2"/>
  <c r="F32" i="2"/>
  <c r="D32" i="2" s="1"/>
  <c r="C32" i="2" s="1"/>
  <c r="AA31" i="2"/>
  <c r="U31" i="2"/>
  <c r="R31" i="2"/>
  <c r="Q31" i="2"/>
  <c r="N31" i="2"/>
  <c r="K31" i="2"/>
  <c r="G31" i="2"/>
  <c r="D31" i="2"/>
  <c r="AE30" i="2"/>
  <c r="AB30" i="2"/>
  <c r="AA30" i="2"/>
  <c r="U30" i="2"/>
  <c r="R30" i="2"/>
  <c r="Q30" i="2"/>
  <c r="N30" i="2"/>
  <c r="K30" i="2"/>
  <c r="G30" i="2"/>
  <c r="D30" i="2"/>
  <c r="D28" i="2" s="1"/>
  <c r="AE29" i="2"/>
  <c r="AB29" i="2"/>
  <c r="AA29" i="2"/>
  <c r="U29" i="2"/>
  <c r="U28" i="2" s="1"/>
  <c r="R29" i="2"/>
  <c r="Q29" i="2"/>
  <c r="N29" i="2"/>
  <c r="K29" i="2"/>
  <c r="G29" i="2"/>
  <c r="G28" i="2" s="1"/>
  <c r="D29" i="2"/>
  <c r="AE28" i="2"/>
  <c r="AD28" i="2"/>
  <c r="AD26" i="2" s="1"/>
  <c r="AC28" i="2"/>
  <c r="AC26" i="2" s="1"/>
  <c r="W28" i="2"/>
  <c r="Z28" i="2" s="1"/>
  <c r="V28" i="2"/>
  <c r="T28" i="2"/>
  <c r="S28" i="2"/>
  <c r="R28" i="2"/>
  <c r="P28" i="2"/>
  <c r="O28" i="2"/>
  <c r="M28" i="2"/>
  <c r="L28" i="2"/>
  <c r="L26" i="2" s="1"/>
  <c r="K28" i="2"/>
  <c r="I28" i="2"/>
  <c r="H28" i="2"/>
  <c r="F28" i="2"/>
  <c r="E28" i="2"/>
  <c r="AA27" i="2"/>
  <c r="Y27" i="2"/>
  <c r="W27" i="2"/>
  <c r="V27" i="2"/>
  <c r="U27" i="2"/>
  <c r="S27" i="2"/>
  <c r="O27" i="2"/>
  <c r="L27" i="2"/>
  <c r="K27" i="2"/>
  <c r="I27" i="2"/>
  <c r="H27" i="2"/>
  <c r="G27" i="2"/>
  <c r="F27" i="2"/>
  <c r="F26" i="2" s="1"/>
  <c r="E27" i="2"/>
  <c r="D27" i="2" s="1"/>
  <c r="C27" i="2" s="1"/>
  <c r="AE26" i="2"/>
  <c r="V26" i="2"/>
  <c r="S26" i="2"/>
  <c r="P26" i="2"/>
  <c r="M26" i="2"/>
  <c r="K26" i="2"/>
  <c r="H26" i="2"/>
  <c r="E26" i="2"/>
  <c r="D26" i="2"/>
  <c r="AE25" i="2"/>
  <c r="AB25" i="2"/>
  <c r="AA25" i="2"/>
  <c r="AA24" i="2" s="1"/>
  <c r="W25" i="2"/>
  <c r="V25" i="2"/>
  <c r="T25" i="2"/>
  <c r="S25" i="2"/>
  <c r="P25" i="2"/>
  <c r="O25" i="2"/>
  <c r="N25" i="2"/>
  <c r="M25" i="2"/>
  <c r="M24" i="2" s="1"/>
  <c r="L25" i="2"/>
  <c r="I25" i="2"/>
  <c r="H25" i="2"/>
  <c r="G25" i="2" s="1"/>
  <c r="G24" i="2" s="1"/>
  <c r="F25" i="2"/>
  <c r="E25" i="2"/>
  <c r="D25" i="2" s="1"/>
  <c r="AE24" i="2"/>
  <c r="AD24" i="2"/>
  <c r="AC24" i="2"/>
  <c r="AB24" i="2"/>
  <c r="V24" i="2"/>
  <c r="T24" i="2"/>
  <c r="S24" i="2"/>
  <c r="R24" i="2"/>
  <c r="P24" i="2"/>
  <c r="O24" i="2"/>
  <c r="N24" i="2"/>
  <c r="L24" i="2"/>
  <c r="I24" i="2"/>
  <c r="H24" i="2"/>
  <c r="F24" i="2"/>
  <c r="AA23" i="2"/>
  <c r="U23" i="2"/>
  <c r="Q23" i="2" s="1"/>
  <c r="R23" i="2"/>
  <c r="N23" i="2"/>
  <c r="K23" i="2"/>
  <c r="G23" i="2"/>
  <c r="C23" i="2" s="1"/>
  <c r="D23" i="2"/>
  <c r="AC22" i="2"/>
  <c r="AA22" i="2"/>
  <c r="V22" i="2"/>
  <c r="U22" i="2"/>
  <c r="R22" i="2"/>
  <c r="Q22" i="2"/>
  <c r="N22" i="2"/>
  <c r="K22" i="2"/>
  <c r="J22" i="2" s="1"/>
  <c r="H22" i="2"/>
  <c r="G22" i="2" s="1"/>
  <c r="F22" i="2"/>
  <c r="Z22" i="2" s="1"/>
  <c r="E22" i="2"/>
  <c r="D22" i="2" s="1"/>
  <c r="AA21" i="2"/>
  <c r="U21" i="2"/>
  <c r="T21" i="2"/>
  <c r="P21" i="2"/>
  <c r="N21" i="2"/>
  <c r="N20" i="2" s="1"/>
  <c r="M21" i="2"/>
  <c r="K21" i="2"/>
  <c r="I21" i="2"/>
  <c r="G21" i="2"/>
  <c r="G20" i="2" s="1"/>
  <c r="F21" i="2"/>
  <c r="AE20" i="2"/>
  <c r="AE18" i="2" s="1"/>
  <c r="AD20" i="2"/>
  <c r="AD18" i="2" s="1"/>
  <c r="AD9" i="2" s="1"/>
  <c r="AC20" i="2"/>
  <c r="AB20" i="2"/>
  <c r="W20" i="2"/>
  <c r="V20" i="2"/>
  <c r="V18" i="2" s="1"/>
  <c r="S20" i="2"/>
  <c r="S18" i="2" s="1"/>
  <c r="P20" i="2"/>
  <c r="M20" i="2"/>
  <c r="K20" i="2"/>
  <c r="K18" i="2" s="1"/>
  <c r="I20" i="2"/>
  <c r="E20" i="2"/>
  <c r="AE19" i="2"/>
  <c r="AC19" i="2"/>
  <c r="W19" i="2"/>
  <c r="W18" i="2" s="1"/>
  <c r="U19" i="2"/>
  <c r="P19" i="2"/>
  <c r="N19" i="2"/>
  <c r="M19" i="2"/>
  <c r="K19" i="2"/>
  <c r="I19" i="2"/>
  <c r="F19" i="2"/>
  <c r="D19" i="2"/>
  <c r="AB18" i="2"/>
  <c r="P18" i="2"/>
  <c r="P9" i="2" s="1"/>
  <c r="O18" i="2"/>
  <c r="M18" i="2"/>
  <c r="L18" i="2"/>
  <c r="E18" i="2"/>
  <c r="AE17" i="2"/>
  <c r="AB17" i="2"/>
  <c r="AA17" i="2" s="1"/>
  <c r="Z17" i="2"/>
  <c r="W17" i="2"/>
  <c r="V17" i="2"/>
  <c r="S17" i="2"/>
  <c r="R17" i="2" s="1"/>
  <c r="O17" i="2"/>
  <c r="N17" i="2"/>
  <c r="L17" i="2"/>
  <c r="K17" i="2"/>
  <c r="J17" i="2" s="1"/>
  <c r="I17" i="2"/>
  <c r="H17" i="2"/>
  <c r="G17" i="2" s="1"/>
  <c r="C17" i="2" s="1"/>
  <c r="E17" i="2"/>
  <c r="D17" i="2"/>
  <c r="AB16" i="2"/>
  <c r="AA16" i="2" s="1"/>
  <c r="W16" i="2"/>
  <c r="U16" i="2" s="1"/>
  <c r="T16" i="2"/>
  <c r="R16" i="2"/>
  <c r="N16" i="2"/>
  <c r="K16" i="2"/>
  <c r="J16" i="2"/>
  <c r="I16" i="2"/>
  <c r="G16" i="2" s="1"/>
  <c r="F16" i="2"/>
  <c r="D16" i="2" s="1"/>
  <c r="C16" i="2"/>
  <c r="AB15" i="2"/>
  <c r="AA15" i="2"/>
  <c r="V15" i="2"/>
  <c r="U15" i="2"/>
  <c r="S15" i="2"/>
  <c r="R15" i="2"/>
  <c r="Q15" i="2" s="1"/>
  <c r="O15" i="2"/>
  <c r="N15" i="2"/>
  <c r="L15" i="2"/>
  <c r="K15" i="2"/>
  <c r="J15" i="2" s="1"/>
  <c r="H15" i="2"/>
  <c r="G15" i="2" s="1"/>
  <c r="C15" i="2" s="1"/>
  <c r="E15" i="2"/>
  <c r="D15" i="2" s="1"/>
  <c r="AB14" i="2"/>
  <c r="AA14" i="2"/>
  <c r="U14" i="2"/>
  <c r="R14" i="2"/>
  <c r="Q14" i="2" s="1"/>
  <c r="N14" i="2"/>
  <c r="J14" i="2" s="1"/>
  <c r="K14" i="2"/>
  <c r="G14" i="2"/>
  <c r="F14" i="2"/>
  <c r="AB13" i="2"/>
  <c r="AA13" i="2"/>
  <c r="U13" i="2"/>
  <c r="R13" i="2"/>
  <c r="Q13" i="2" s="1"/>
  <c r="N13" i="2"/>
  <c r="K13" i="2"/>
  <c r="J13" i="2"/>
  <c r="G13" i="2"/>
  <c r="D13" i="2"/>
  <c r="C13" i="2" s="1"/>
  <c r="AB12" i="2"/>
  <c r="V12" i="2"/>
  <c r="R12" i="2"/>
  <c r="O12" i="2"/>
  <c r="N12" i="2" s="1"/>
  <c r="L12" i="2"/>
  <c r="H12" i="2"/>
  <c r="G12" i="2"/>
  <c r="D12" i="2"/>
  <c r="C12" i="2"/>
  <c r="AB11" i="2"/>
  <c r="AA11" i="2"/>
  <c r="V11" i="2"/>
  <c r="U11" i="2"/>
  <c r="R11" i="2"/>
  <c r="Q11" i="2"/>
  <c r="N11" i="2"/>
  <c r="K11" i="2"/>
  <c r="J11" i="2" s="1"/>
  <c r="H11" i="2"/>
  <c r="D11" i="2"/>
  <c r="AE10" i="2"/>
  <c r="AD10" i="2"/>
  <c r="AC10" i="2"/>
  <c r="T10" i="2"/>
  <c r="S10" i="2"/>
  <c r="P10" i="2"/>
  <c r="O10" i="2"/>
  <c r="M10" i="2"/>
  <c r="M9" i="2" s="1"/>
  <c r="I10" i="2"/>
  <c r="E10" i="2"/>
  <c r="X15" i="2" l="1"/>
  <c r="U12" i="2"/>
  <c r="U10" i="2" s="1"/>
  <c r="V10" i="2"/>
  <c r="Z25" i="2"/>
  <c r="W24" i="2"/>
  <c r="Z24" i="2" s="1"/>
  <c r="X32" i="2"/>
  <c r="X11" i="2"/>
  <c r="Y12" i="2"/>
  <c r="Z16" i="2"/>
  <c r="N18" i="2"/>
  <c r="U33" i="2"/>
  <c r="Z33" i="2"/>
  <c r="D35" i="2"/>
  <c r="C36" i="2"/>
  <c r="C19" i="2"/>
  <c r="N27" i="2"/>
  <c r="O26" i="2"/>
  <c r="O9" i="2"/>
  <c r="K12" i="2"/>
  <c r="L10" i="2"/>
  <c r="L9" i="2" s="1"/>
  <c r="Y11" i="2"/>
  <c r="H10" i="2"/>
  <c r="G11" i="2"/>
  <c r="G10" i="2" s="1"/>
  <c r="N10" i="2"/>
  <c r="Y15" i="2"/>
  <c r="G19" i="2"/>
  <c r="G18" i="2" s="1"/>
  <c r="I18" i="2"/>
  <c r="J21" i="2"/>
  <c r="J20" i="2" s="1"/>
  <c r="J27" i="2"/>
  <c r="U26" i="2"/>
  <c r="Q42" i="2"/>
  <c r="Q41" i="2" s="1"/>
  <c r="X41" i="2" s="1"/>
  <c r="R41" i="2"/>
  <c r="C11" i="2"/>
  <c r="D10" i="2"/>
  <c r="D14" i="2"/>
  <c r="C14" i="2" s="1"/>
  <c r="F10" i="2"/>
  <c r="AC9" i="2"/>
  <c r="R10" i="2"/>
  <c r="AB10" i="2"/>
  <c r="AB9" i="2" s="1"/>
  <c r="AA12" i="2"/>
  <c r="AA10" i="2" s="1"/>
  <c r="Q16" i="2"/>
  <c r="X16" i="2" s="1"/>
  <c r="AA20" i="2"/>
  <c r="C25" i="2"/>
  <c r="C24" i="2" s="1"/>
  <c r="D24" i="2"/>
  <c r="W26" i="2"/>
  <c r="W10" i="2"/>
  <c r="Q12" i="2"/>
  <c r="X12" i="2" s="1"/>
  <c r="J19" i="2"/>
  <c r="J18" i="2" s="1"/>
  <c r="AA19" i="2"/>
  <c r="AA18" i="2" s="1"/>
  <c r="T19" i="2"/>
  <c r="AC18" i="2"/>
  <c r="H20" i="2"/>
  <c r="H18" i="2" s="1"/>
  <c r="T20" i="2"/>
  <c r="Z21" i="2"/>
  <c r="R21" i="2"/>
  <c r="C22" i="2"/>
  <c r="X22" i="2" s="1"/>
  <c r="E24" i="2"/>
  <c r="E9" i="2" s="1"/>
  <c r="B63" i="2" s="1"/>
  <c r="Q33" i="2"/>
  <c r="X33" i="2" s="1"/>
  <c r="X36" i="2"/>
  <c r="N28" i="2"/>
  <c r="AA28" i="2"/>
  <c r="AA26" i="2" s="1"/>
  <c r="J45" i="2"/>
  <c r="J44" i="2" s="1"/>
  <c r="J47" i="2"/>
  <c r="N45" i="2"/>
  <c r="N44" i="2" s="1"/>
  <c r="U20" i="2"/>
  <c r="U18" i="2" s="1"/>
  <c r="K25" i="2"/>
  <c r="Y25" i="2"/>
  <c r="U25" i="2"/>
  <c r="T27" i="2"/>
  <c r="T26" i="2" s="1"/>
  <c r="C29" i="2"/>
  <c r="Q28" i="2"/>
  <c r="AB28" i="2"/>
  <c r="AB26" i="2" s="1"/>
  <c r="J30" i="2"/>
  <c r="C31" i="2"/>
  <c r="J38" i="2"/>
  <c r="J39" i="2"/>
  <c r="AA39" i="2"/>
  <c r="AA40" i="2"/>
  <c r="K41" i="2"/>
  <c r="AE45" i="2"/>
  <c r="Z47" i="2"/>
  <c r="R47" i="2"/>
  <c r="T45" i="2"/>
  <c r="Z49" i="2"/>
  <c r="W44" i="2"/>
  <c r="U49" i="2"/>
  <c r="U44" i="2" s="1"/>
  <c r="Y17" i="2"/>
  <c r="U17" i="2"/>
  <c r="Q17" i="2" s="1"/>
  <c r="X17" i="2" s="1"/>
  <c r="D21" i="2"/>
  <c r="F20" i="2"/>
  <c r="F18" i="2" s="1"/>
  <c r="J23" i="2"/>
  <c r="Y26" i="2"/>
  <c r="J29" i="2"/>
  <c r="J28" i="2" s="1"/>
  <c r="C30" i="2"/>
  <c r="J31" i="2"/>
  <c r="G33" i="2"/>
  <c r="C33" i="2" s="1"/>
  <c r="I26" i="2"/>
  <c r="I9" i="2" s="1"/>
  <c r="Y34" i="2"/>
  <c r="Z36" i="2"/>
  <c r="Q37" i="2"/>
  <c r="X37" i="2" s="1"/>
  <c r="Q38" i="2"/>
  <c r="X38" i="2" s="1"/>
  <c r="C39" i="2"/>
  <c r="X39" i="2" s="1"/>
  <c r="C40" i="2"/>
  <c r="X40" i="2" s="1"/>
  <c r="U41" i="2"/>
  <c r="R49" i="2"/>
  <c r="Q49" i="2" s="1"/>
  <c r="X49" i="2" s="1"/>
  <c r="S44" i="2"/>
  <c r="Y44" i="2" s="1"/>
  <c r="Y49" i="2"/>
  <c r="U34" i="2"/>
  <c r="Q34" i="2" s="1"/>
  <c r="X34" i="2" s="1"/>
  <c r="T41" i="2"/>
  <c r="Z41" i="2" s="1"/>
  <c r="D20" i="2" l="1"/>
  <c r="D18" i="2" s="1"/>
  <c r="C21" i="2"/>
  <c r="C20" i="2" s="1"/>
  <c r="Z27" i="2"/>
  <c r="C18" i="2"/>
  <c r="V9" i="2"/>
  <c r="Y10" i="2"/>
  <c r="AE44" i="2"/>
  <c r="AE9" i="2" s="1"/>
  <c r="AA45" i="2"/>
  <c r="AA44" i="2" s="1"/>
  <c r="U24" i="2"/>
  <c r="U9" i="2" s="1"/>
  <c r="Q25" i="2"/>
  <c r="R20" i="2"/>
  <c r="Q21" i="2"/>
  <c r="AA9" i="2"/>
  <c r="C10" i="2"/>
  <c r="K10" i="2"/>
  <c r="K9" i="2" s="1"/>
  <c r="J12" i="2"/>
  <c r="J10" i="2" s="1"/>
  <c r="S9" i="2"/>
  <c r="G26" i="2"/>
  <c r="G9" i="2" s="1"/>
  <c r="D9" i="2"/>
  <c r="Z45" i="2"/>
  <c r="T44" i="2"/>
  <c r="R19" i="2"/>
  <c r="T18" i="2"/>
  <c r="Z19" i="2"/>
  <c r="F9" i="2"/>
  <c r="Y24" i="2"/>
  <c r="H9" i="2"/>
  <c r="N26" i="2"/>
  <c r="R27" i="2"/>
  <c r="Z44" i="2"/>
  <c r="Z26" i="2"/>
  <c r="N9" i="2"/>
  <c r="Q47" i="2"/>
  <c r="R45" i="2"/>
  <c r="R44" i="2" s="1"/>
  <c r="C28" i="2"/>
  <c r="C26" i="2" s="1"/>
  <c r="J25" i="2"/>
  <c r="J24" i="2" s="1"/>
  <c r="K24" i="2"/>
  <c r="Z20" i="2"/>
  <c r="Z10" i="2"/>
  <c r="W9" i="2"/>
  <c r="J26" i="2"/>
  <c r="Q10" i="2"/>
  <c r="X10" i="2" l="1"/>
  <c r="R18" i="2"/>
  <c r="R9" i="2" s="1"/>
  <c r="Q19" i="2"/>
  <c r="X21" i="2"/>
  <c r="Q20" i="2"/>
  <c r="X20" i="2" s="1"/>
  <c r="X47" i="2"/>
  <c r="Q45" i="2"/>
  <c r="R26" i="2"/>
  <c r="Q27" i="2"/>
  <c r="C9" i="2"/>
  <c r="Q24" i="2"/>
  <c r="X24" i="2" s="1"/>
  <c r="X25" i="2"/>
  <c r="T9" i="2"/>
  <c r="Z9" i="2" s="1"/>
  <c r="Z18" i="2"/>
  <c r="J9" i="2"/>
  <c r="Y9" i="2"/>
  <c r="X45" i="2" l="1"/>
  <c r="Q44" i="2"/>
  <c r="X44" i="2" s="1"/>
  <c r="X19" i="2"/>
  <c r="Q18" i="2"/>
  <c r="Q26" i="2"/>
  <c r="X26" i="2" s="1"/>
  <c r="X27" i="2"/>
  <c r="X18" i="2" l="1"/>
  <c r="Q9" i="2"/>
  <c r="X9" i="2" s="1"/>
  <c r="H6" i="3" l="1"/>
  <c r="H7" i="3"/>
  <c r="D6" i="3"/>
  <c r="D7" i="3"/>
  <c r="D8" i="3" s="1"/>
  <c r="E8" i="3"/>
  <c r="F8" i="3"/>
  <c r="G8" i="3"/>
  <c r="C6" i="3"/>
  <c r="D7" i="4"/>
  <c r="E6" i="4"/>
  <c r="G6" i="4"/>
  <c r="F7" i="4"/>
  <c r="G7" i="4"/>
  <c r="H7" i="4"/>
  <c r="I7" i="4"/>
  <c r="J7" i="4"/>
  <c r="E7" i="4"/>
  <c r="H8" i="3" l="1"/>
  <c r="C7" i="3"/>
  <c r="C8" i="3" s="1"/>
</calcChain>
</file>

<file path=xl/sharedStrings.xml><?xml version="1.0" encoding="utf-8"?>
<sst xmlns="http://schemas.openxmlformats.org/spreadsheetml/2006/main" count="241" uniqueCount="161">
  <si>
    <t>STT</t>
  </si>
  <si>
    <t>Ký hiệu</t>
  </si>
  <si>
    <t>Trích yếu nội dung</t>
  </si>
  <si>
    <t>Ngày tháng 
ban hành</t>
  </si>
  <si>
    <t>Cơ quan
 ban hành</t>
  </si>
  <si>
    <t>Phụ lục 01</t>
  </si>
  <si>
    <t>01</t>
  </si>
  <si>
    <t>02</t>
  </si>
  <si>
    <t>03</t>
  </si>
  <si>
    <t>04</t>
  </si>
  <si>
    <t>05</t>
  </si>
  <si>
    <t>06</t>
  </si>
  <si>
    <t>07</t>
  </si>
  <si>
    <t>08</t>
  </si>
  <si>
    <t>09</t>
  </si>
  <si>
    <t>10</t>
  </si>
  <si>
    <t>Văn bản chỉ đạo về công tác dân tộc và và thực hiện chính sách dân tộc 
năm 2024</t>
  </si>
  <si>
    <t>Đơn vị tính</t>
  </si>
  <si>
    <t>Phân theo nguồn vốn (triệu đồng)</t>
  </si>
  <si>
    <t>Vốn giải ngân (Tr.đ)</t>
  </si>
  <si>
    <t>Ghi chú</t>
  </si>
  <si>
    <t>Tên dự án</t>
  </si>
  <si>
    <t>NSTƯ</t>
  </si>
  <si>
    <t>NSĐP</t>
  </si>
  <si>
    <t>Dân đóng góp (quy đổi)</t>
  </si>
  <si>
    <t>Lồng ghép, vốn khác</t>
  </si>
  <si>
    <t>Nội dung, khối lượng thực hiện</t>
  </si>
  <si>
    <t>Phụ lục 03</t>
  </si>
  <si>
    <t xml:space="preserve">Kết quả thực hiện các chương trình, chính sách dân tộc không thuộc Chương trình mục tiêu quốc gia phát triển kinh tế - xã hội vùng đồng bào dân tộc thiểu số và miền núi </t>
  </si>
  <si>
    <t>Tổng kinh phí giao (Tr.đ)</t>
  </si>
  <si>
    <t>Phụ lục 04</t>
  </si>
  <si>
    <t>Kết quả thực hiện một số chương trình, chính sách khác do các bộ, ngành khác quản lý, chỉ đạo</t>
  </si>
  <si>
    <t>Chương trình mục tiêu quốc gia xây dựng nông thôn mới</t>
  </si>
  <si>
    <t>Chương trình mục tiêu quốc gia giảm nghèo bền vững</t>
  </si>
  <si>
    <t>UBND Huyện</t>
  </si>
  <si>
    <t>Ngày 24/3/2022</t>
  </si>
  <si>
    <t>Ngày 06/4/2022</t>
  </si>
  <si>
    <t>Ngày 04/7/2022</t>
  </si>
  <si>
    <t>Ngày 13/5/2022</t>
  </si>
  <si>
    <t>Ngày 18/7/2022</t>
  </si>
  <si>
    <t>Ngày 28/7/2023</t>
  </si>
  <si>
    <t>Ngày 27/01/2022</t>
  </si>
  <si>
    <t>Ngày 31/5/2022</t>
  </si>
  <si>
    <t>Ngày 7/8/2023</t>
  </si>
  <si>
    <t>Ngày 21/9/2023</t>
  </si>
  <si>
    <t>Ngày 04/01/2024</t>
  </si>
  <si>
    <t>Ngày 06/02/2024</t>
  </si>
  <si>
    <t>Quyết định số 71/QĐ-UBND</t>
  </si>
  <si>
    <t>Quyết định số 79a/QĐ-UBND</t>
  </si>
  <si>
    <t>Quyết định số 01/QĐ-BCĐ</t>
  </si>
  <si>
    <t>Quyết định số 04/QĐ-BCĐ</t>
  </si>
  <si>
    <t>Quyết định số 245/QĐ-UBND</t>
  </si>
  <si>
    <t>Quyết định số 302/QĐ-UBND</t>
  </si>
  <si>
    <t>Kế hoạch số 18/KH-UBND</t>
  </si>
  <si>
    <t>Kế hoạch 193/KH-UBND</t>
  </si>
  <si>
    <t>Kế hoạch số 157/KH-UBND</t>
  </si>
  <si>
    <t xml:space="preserve"> Kế hoạch số 176/KH-UBND</t>
  </si>
  <si>
    <t>Kế hoạch số 03/KH-UBND</t>
  </si>
  <si>
    <t>Kế hoạch số 29/KH-UBND</t>
  </si>
  <si>
    <t>Về việc thành lập Ban Chỉ đạo các Chương trình mục tiêu quốc gia huyện Tu MơRông giai đoạn 2021-2025</t>
  </si>
  <si>
    <t>Về việc điều chỉnh Quyết định số 71/QĐ-UBND, ngày 24 tháng 03 năm 2022 của UBND huyện về việc thành lập Ban Chỉ đạo các Chương trình mục tiêu quốc gia huyện Tu Mơ Rông giai đoạn 2021-2025</t>
  </si>
  <si>
    <t>Về việc thành lập Tổ công tác về Chương trình mục tiêu quốc gia phát triển kinh tế - xã hội vùng đồng bào dân tộc thiểu số và miền núi giai đoạn 2021-2030, giai đoạn I</t>
  </si>
  <si>
    <t>Về việc bổ sung thành viên Tổ công tác về Chương trình mục tiêu quốc gia phát triển kinh tế - xã hội vùng đồng bào dân tộc thiểu số và miền núi giai đoạn 2021-2030, giai đoạn I</t>
  </si>
  <si>
    <t>Mục tiêu, nhiệm vụ và phân bổ kế hoạch vốn đầu tư phát triển nguồn ngân sách Trung ương; mức vốn đầu tư phát triển nguồn ngân sách địa phương đối ứng thực hiện các Chương trình mục tiêu quốc gia giai đoạn 2021-2025 trên địa bàn huyện Tu Mơ Rông</t>
  </si>
  <si>
    <t>Về việc Điều chỉnh, bổ sung Quyết định số 245/QĐ-UBND ngày 07/07/2022 về việc giao mục tiêu, nhiệm vụ và phân bổ kế hoạch vốn đầu tư phát triển nguồn ngân sách Trung ương; mức vốn đầu tư phát triển nguồn ngân sách địa phương đối ứng thực hiện các Chương trình mục tiêu quốc gia giai đoạn 2021-2025 trên địa bàn huyện Tu Mơ Rông.</t>
  </si>
  <si>
    <t>Triển khai Quyết định số 1719/QĐ-TTg, ngày 14/10/2021 của Thủ tường Chính phủ phê duyệt chương trình mục tiêu quốc gia phát triển kinh tế - xã hội vùng đồng bào dân tộc thiểu số và miền núi giai đoạn 2021-2030, giai đoạn I: từ năm 2021 đến năm 2025</t>
  </si>
  <si>
    <t>Kế hoạch phổ cập, xoá mù chữ trên địa bàn huyện Tu Mơ Rông giai đoạn 2022-2025</t>
  </si>
  <si>
    <t>Kế hoạch Điều chỉnh, bổ sung Kế hoạch 193/KH-UBND, ngày 31/5/2022 của UBND huyện về Phổ cập giáo dục, xóa mù chữ trên địa bàn huyện Tu Mơ Rông giai đoạn 2022-2025.</t>
  </si>
  <si>
    <t>Kế hoạch mở các lớp Xóa mù chữ trên địa bàn, triển khai thực hiện Tiểu dự án 1 - Dự án 5: Đổi mới hoạt động, củng cố phát triển các trường phổ thông dân tộc nội trú, trường phổ thông dân tộc bán trú, trường phổ thông dân tộc có học sinh ở bán trú và xóa mù chữ cho người dân vùng đồng bào dân tộc thiểu số và miền núi năm 2023.</t>
  </si>
  <si>
    <t>Kế hoạch thực hiện Chương trình MTQG phát triển kinh tế - xã hội vùng đồng bào DTTS&amp;MN giai đoạn 2021-2023, giai đoạn I: Từ năm 2021 đến năm 2025 trên địa bàn huyện Tu Mơ Rông năm 2024.</t>
  </si>
  <si>
    <t>Kế hoạch Mở lớp Xóa mù chữ trên địa bàn huyện thực hiện Tiểu dự án 1 - Dự án 5: Đổi mới hoạt động, củng cố phát triển các trường phổ thông dân tộc nội trú, trường phổ thông dân tộc bán trú, trường phổ thông dân tộc có học sinh ở bán trú và xóa mù chữ cho người dân vùng đồng bào dân tộc thiểu số và miền núi năm 2024.</t>
  </si>
  <si>
    <t>Dự án 2: Quy hoạch, sắp xếp, bố trí, ổn định dân cư ở những nơi cần thiết</t>
  </si>
  <si>
    <t>Dự án 3: Phát triển sản xuất nông, lâm nghiệp bền vững, phát huy tiềm năng, thế mạnh của các vùng miền để sản xuất hàng hóa theo chuỗi giá trị</t>
  </si>
  <si>
    <t>Dự án 5: Phát triển giáo dục đào tạo nâng cao chất lượng nguồn nhân lực</t>
  </si>
  <si>
    <t>Dự án 6: Bảo tồn, phát huy giá trị văn hóa truyền thống tốt đẹp của các dân tộc thiểu số gắn với phát triển du lịch</t>
  </si>
  <si>
    <t>Dự án 8: Thực hiện bình đẳng giới và giải quyết những vấn đề cấp thiết đối với phụ nữ và trẻ em</t>
  </si>
  <si>
    <t>Dự án 9: Đầu tư phát triển nhóm dân tộc thiểu số rất ít người và nhóm dân tộc còn nhiều khó khăn</t>
  </si>
  <si>
    <t>TỔNG CỘNG</t>
  </si>
  <si>
    <t xml:space="preserve">Quyết định 12/2018/QĐ-TTg,
 Quyết định 28/2023/QĐ-TTg của Thủ tướng Chính phủ </t>
  </si>
  <si>
    <t>Đã nộp 
trả NS huyện 60,75 triệu</t>
  </si>
  <si>
    <t>Lượt
 người</t>
  </si>
  <si>
    <t>Tổng cộng</t>
  </si>
  <si>
    <t>ỦY BAN NHÂN DÂN</t>
  </si>
  <si>
    <t>CỘNG HÒA XÃ HỘI CHỦ NGHĨ VIỆT NAM</t>
  </si>
  <si>
    <t>HUYỆN TU MƠ RÔNG</t>
  </si>
  <si>
    <t>Độc lập - Tự do - Hạnh phúc</t>
  </si>
  <si>
    <t>TT</t>
  </si>
  <si>
    <t>Nội dung</t>
  </si>
  <si>
    <t>Kế hoạch năm 2022, 2023, 2024</t>
  </si>
  <si>
    <t>Kết quả giải ngân kế hoạch đến 30 tháng 10 năm 2024</t>
  </si>
  <si>
    <t>Ước thực hiện giải ngân kế hoạch đến 31 tháng 12 năm 2023</t>
  </si>
  <si>
    <t>Tỷ lệ giải ngân</t>
  </si>
  <si>
    <t>Đề nghị nộp trả Ngân sách</t>
  </si>
  <si>
    <t>Trong đó</t>
  </si>
  <si>
    <t>Nguyên nhân nộp trả</t>
  </si>
  <si>
    <t>Tổng số</t>
  </si>
  <si>
    <t>Kế hoạch năm 2022,2023 kéo dài</t>
  </si>
  <si>
    <t>Kế hoạch năm 2024</t>
  </si>
  <si>
    <t>Kế hoạch năm 2022, 2023 kéo dài</t>
  </si>
  <si>
    <t>Kế hoạch 
năm 2022,2023</t>
  </si>
  <si>
    <t>Kế hoạch 
năm 2024</t>
  </si>
  <si>
    <t>Vốn ĐTPT</t>
  </si>
  <si>
    <t>Vốn
SN</t>
  </si>
  <si>
    <t>Dự án 1:Giải quyết tình trạng thiếu đất ở, nhà ở, đất sản xuất, nước sinh hoạt</t>
  </si>
  <si>
    <t>-</t>
  </si>
  <si>
    <t>Hỗ trợ đất ở</t>
  </si>
  <si>
    <t>Hỗ trợ nhà ở</t>
  </si>
  <si>
    <t>Hỗ trợ đất sản xuất</t>
  </si>
  <si>
    <t>Hỗ trợ chuyển đổi nghề</t>
  </si>
  <si>
    <t>Trên địa bàn huyện Tu Mơ Rông không còn hộ không có hoặc thiếu từ 50% đất sản xuất trở lên theo định mức của UBND tỉnh quy định. Do vậy, trênđịa bàn huyện Tu Mơ Rông không triển khai nôi dung hỗ trợ chuyển đổi nghề được</t>
  </si>
  <si>
    <t>Nước sinh hoạt tập trung</t>
  </si>
  <si>
    <t>Nước sinh hoạt phân tán</t>
  </si>
  <si>
    <t>Qua phối hợp rà soát, đến thời điểm hiện tại trên địa bàn huyện chi có 654 hô đảm bảo quy định thụ hưởng chính sách hỗ trợ nước sinh hoạt phân tán</t>
  </si>
  <si>
    <t>3.1</t>
  </si>
  <si>
    <r>
      <rPr>
        <b/>
        <sz val="11"/>
        <color rgb="FFFF0000"/>
        <rFont val="Times New Roman"/>
        <family val="1"/>
      </rPr>
      <t>Tiểu dự án 1:</t>
    </r>
    <r>
      <rPr>
        <sz val="11"/>
        <color rgb="FFFF0000"/>
        <rFont val="Times New Roman"/>
        <family val="1"/>
      </rPr>
      <t xml:space="preserve"> Phát triển kinh tế nông, lâm nghiệp bền vững gắn với bảo vệ rừng và nâng cao thu nhập cho người dân</t>
    </r>
  </si>
  <si>
    <t xml:space="preserve">Kế hoạch vốn phân bổ quá cao so với nhu cầu thực tế của địa phương. Hiện, chưa có quy định, hướng dẫn cụ thể nên chưa có cơ sở xác định được kinh phí thực hiện </t>
  </si>
  <si>
    <t>3.2</t>
  </si>
  <si>
    <r>
      <rPr>
        <b/>
        <sz val="11"/>
        <rFont val="Times New Roman"/>
        <family val="1"/>
      </rPr>
      <t>Tiểu dự án 2:</t>
    </r>
    <r>
      <rPr>
        <sz val="11"/>
        <rFont val="Times New Roman"/>
        <family val="1"/>
      </rPr>
      <t xml:space="preserve"> Hỗ trợ phát triển sản xuất theo chuỗi giá trị, vùng trồng dược liệu quý, thúc đẩy khởi sự kinh doanh, khởi nghiệp và thu hút đầu tư vùng đồng bào dân tộc thiểu số và miền núi</t>
    </r>
  </si>
  <si>
    <t>Nội dung số 1: Hỗ trợ phát triển sản xuất theo chuỗi giá trị</t>
  </si>
  <si>
    <t>UBND các xã tiết kiệm sau đấu thầu và hết nhiệm vụ chi của năm giao dự toán</t>
  </si>
  <si>
    <t>Nội dung số 2: Đầu tư, hỗ trợ phát triển vùng trồng dược liệu quý</t>
  </si>
  <si>
    <t>Ủy ban nhân dân huyện ban hành thông báo đã không có đơn vị nào tham gia lựa chọn chủ trì liên kết nên nguồn kinh phí được giao sẽ không thực hiện giải ngân được trong năm 2024</t>
  </si>
  <si>
    <t>Nội dung số 3: Thúc đẩy khởi sự kinh doanh, khởi nghiệp và thu hút đầu tư vùng đồng bào DTTS và MN</t>
  </si>
  <si>
    <t>Dự án 4: Đầu tư cơ sở hạ tầng thiết yếu, phục vụ sản xuất, đời sống trong vùng đồng bào dân tộc thiểu số và miền núi và các đơn vị sự nghiệp công lập của lĩnh vực dân tộc</t>
  </si>
  <si>
    <t>4.1</t>
  </si>
  <si>
    <r>
      <rPr>
        <b/>
        <sz val="11"/>
        <rFont val="Times New Roman"/>
        <family val="1"/>
      </rPr>
      <t>Tiểu dự án 1:</t>
    </r>
    <r>
      <rPr>
        <sz val="11"/>
        <rFont val="Times New Roman"/>
        <family val="1"/>
      </rPr>
      <t xml:space="preserve"> Đầu tư cơ sở hạ tầng thiết yếu, phục vụ sản xuất, đời sống trong vùng đồng bào dân tộc thiểu số và miền núi</t>
    </r>
  </si>
  <si>
    <t>5.1</t>
  </si>
  <si>
    <r>
      <rPr>
        <b/>
        <sz val="11"/>
        <rFont val="Times New Roman"/>
        <family val="1"/>
      </rPr>
      <t>Tiểu dự án 1</t>
    </r>
    <r>
      <rPr>
        <sz val="11"/>
        <rFont val="Times New Roman"/>
        <family val="1"/>
      </rPr>
      <t>: Đổi mới hoạt động, củng cố phát triển các trường PTDTNT, trường PTDTBT, trường phổ thông có học sinh ở bán trú và xóa mù chữ cho người dân vùng ĐBDTTS</t>
    </r>
  </si>
  <si>
    <t>Kế hoạch vốn giao quá cao so với nhu cầu thực tế của địa phương. Khả 
năng không giải ngân hết nguồn vốn được giao. Do Căn cứ khoản  2, điều 3, Nghị quyết số 58/2022/NQ-HĐND ngày 29/8/2022 của Hội đồng nhân dân tỉnh Kon Tum thì kinh phí Trung ương thực hiện chương trình mục tiêu quốc gia phát triển kinh tế xã hội vùng đồng bào dân tộc thiểu số và miền núi giai đoạn 2021-2030, giai đoạn 1: từ năm 2021-2025, thì chỉ chi được hỗ trợ để khuyến khích người dân vùng đồng bào dân tộc thiểu số tham gia học xoá mù chữ: 500.000đ/người/chương trình học (theo điểm đ khoản 5 điều 2 Nghị quyết số 58/2022/NQ-HĐND ngày 29/8/2022 của Hội đồng nhân dân tỉnh Kon Tum). Nhưng tại thời điểm hiện tại, các lớp xoá mù chữ trên địa bàn huyện chưa kết thúc chương trình học mà kéo dài đến năm 2025.</t>
  </si>
  <si>
    <t>5.2</t>
  </si>
  <si>
    <r>
      <rPr>
        <b/>
        <sz val="11"/>
        <rFont val="Times New Roman"/>
        <family val="1"/>
      </rPr>
      <t>Tiểu dự án 2:</t>
    </r>
    <r>
      <rPr>
        <sz val="11"/>
        <rFont val="Times New Roman"/>
        <family val="1"/>
      </rPr>
      <t xml:space="preserve"> Bồi dưỡng kiến thức dân tộc; đào tạo dự bị đại học, đại học và sau đại học đáp ứng nhu cầu nhân lực cho vùng đồng bào dân tộc thiểu số và miền núi</t>
    </r>
  </si>
  <si>
    <t>Bồi dưỡng kiến thức dân tộc</t>
  </si>
  <si>
    <t>Bồi dưỡng tiếng dân tộc thiểu số</t>
  </si>
  <si>
    <t>Đào tạo Đại học và  sau đại học</t>
  </si>
  <si>
    <t>đối với nội dung hỗ trợ Đại học được nêu tại Khoản 2, Điều 47 Thông tư số 02/2022/TT-UBDT (Sinh viên học tại các cơ sở giáo dục đại học được tiếp nhận sau khi hoàn thành chương trình dự bị đại học thuộc đối tượng nêu tại điểm b khoản 1 Điều này) và tại Khoản 2, Điều 48 Thông tư số 02/2022/TT-UBDT (Chuyên ngành đào tạo đại học, sau đại học do UBND cấp tỉnh quyết định theo nhu cầu của địa phương). Nhưng hiện tại trên địa bàn huyện không có đối tượng đáp ứng quy định nêu trên.</t>
  </si>
  <si>
    <t>5.3</t>
  </si>
  <si>
    <r>
      <rPr>
        <b/>
        <sz val="11"/>
        <rFont val="Times New Roman"/>
        <family val="1"/>
      </rPr>
      <t>Tiểu dự án 3:</t>
    </r>
    <r>
      <rPr>
        <sz val="11"/>
        <rFont val="Times New Roman"/>
        <family val="1"/>
      </rPr>
      <t xml:space="preserve"> Dự án phát triển giáo dục nghề nghiệp và giải quyết việc làm cho người lao động vùng dân tộc thiểu số và miền núi</t>
    </r>
  </si>
  <si>
    <t>Kế hoạch vốn giao quá cao so với khả năng giảng dạy và nhu cầu học nghề tại địa phương, bên cạnh đó ngày 22/8/2023 UBND tỉnh Kon Tum mới ban hành Quyết định số 45/2023/QĐ-UBND về viêc ban hành đơn giá dịch vụ công trong lĩnh vực</t>
  </si>
  <si>
    <t>5.4</t>
  </si>
  <si>
    <r>
      <rPr>
        <b/>
        <sz val="11"/>
        <rFont val="Times New Roman"/>
        <family val="1"/>
      </rPr>
      <t>Tiểu dự án 4:</t>
    </r>
    <r>
      <rPr>
        <sz val="11"/>
        <rFont val="Times New Roman"/>
        <family val="1"/>
      </rPr>
      <t xml:space="preserve"> Đào tạo nâng cao năng lực cho cộng đồng và cán bộ triển khai Chương trình ở các cấp</t>
    </r>
  </si>
  <si>
    <t xml:space="preserve">Dự án 7: Chăm sóc sức khỏe Nhân dân, nâng cao thể trạng, tầm vóc người dân tộc thiểu số; phòng chống suy dinh dưỡng trẻ em </t>
  </si>
  <si>
    <t xml:space="preserve">Hoạt động tuyên truyền, vận động thay đổi “nếp nghĩ, cách làm” </t>
  </si>
  <si>
    <t>Xây dựng nhân rộng mô hình thay đổi nếp nghĩ cách làm nâng cao quyền năng kinh tế cho phụ nữ; thúc đẩy bình đẳng giới và giải quyết những vấn đề cấp thiết của phụ nữ và trẻ em</t>
  </si>
  <si>
    <t>Đảm bảo tiếng nói và sự tham gia thực chất của phụ nữ và trẻ em trong các hoạt động phát triển kinh tế - xã hội của cộng đồng, giám sát và phản biện; hỗ trợ phụ nữ tham gia lãnh đạo trong hệ thống chính trị</t>
  </si>
  <si>
    <t>Trang bị kiến thức về bình đẳng giới, kỹ năng thực hiện lồng ghép giới cho cán bộ trong hệ thống chính trị, già làng, trưởng bản, chức sắc tôn giáo và người có uy tín trong cộng đồng</t>
  </si>
  <si>
    <t>9.1</t>
  </si>
  <si>
    <r>
      <rPr>
        <b/>
        <sz val="11"/>
        <rFont val="Times New Roman"/>
        <family val="1"/>
      </rPr>
      <t>Tiểu dự án 1:</t>
    </r>
    <r>
      <rPr>
        <sz val="11"/>
        <rFont val="Times New Roman"/>
        <family val="1"/>
      </rPr>
      <t xml:space="preserve"> Đầu tư phát triển kinh tế - xã hội các dân tộc còn gặp nhiều khó khăn, dân tộc có khó khăn đặc thù</t>
    </r>
  </si>
  <si>
    <t>9.2</t>
  </si>
  <si>
    <r>
      <rPr>
        <b/>
        <sz val="11"/>
        <rFont val="Times New Roman"/>
        <family val="1"/>
      </rPr>
      <t xml:space="preserve">Tiểu dự án 2: </t>
    </r>
    <r>
      <rPr>
        <sz val="11"/>
        <rFont val="Times New Roman"/>
        <family val="1"/>
      </rPr>
      <t>Giảm thiểu tình trạng tảo hôn và hôn nhân cận huyết thống trong vùng đồng bào dân tộc thiểu số và miền núi</t>
    </r>
  </si>
  <si>
    <t>Dự án 10: Truyền thông, tuyên truyền, vận động trong vùng đồng bào DTTS và MN. Kiểm tra, giám sát đánh giá việc tổ chức thực hiện Chương trình</t>
  </si>
  <si>
    <t>10.1</t>
  </si>
  <si>
    <r>
      <rPr>
        <b/>
        <sz val="11"/>
        <rFont val="Times New Roman"/>
        <family val="1"/>
      </rPr>
      <t>Tiểu dự án 1:</t>
    </r>
    <r>
      <rPr>
        <sz val="11"/>
        <rFont val="Times New Roman"/>
        <family val="1"/>
      </rPr>
      <t xml:space="preserve"> Biểu dương, tôn vinh điển hình tiên tiến, phát huy vai trò của người có uy tín; phổ biến, GDPL, trợ giúp pháp lý, tuyên truyền, vận động đồng bào; truyền thông phục vụ tổ chức thực hiện Đề án tổng thể và Chương trình</t>
    </r>
  </si>
  <si>
    <t>Nội dung số 1: Biểu dương, tôn vinh điển hình tiên tiến, phát huy vai trò của người có uy tín</t>
  </si>
  <si>
    <t>Nội dung số 2: Phổ biến, giáo dục pháp luật và tuyên truyền vận động đồng bào dân tộc thiểu số</t>
  </si>
  <si>
    <t>Nội dung số 3: Tăng cường, nâng cao khả năng tiếp cận và thụ hưởng hoạt động trợ giúp pháp lý  chất lượng cho vùng đồng bào dân tộc thiểu số và miền núi</t>
  </si>
  <si>
    <t>10.2</t>
  </si>
  <si>
    <r>
      <rPr>
        <b/>
        <sz val="11"/>
        <rFont val="Times New Roman"/>
        <family val="1"/>
      </rPr>
      <t>Tiểu dự án 2:</t>
    </r>
    <r>
      <rPr>
        <sz val="11"/>
        <rFont val="Times New Roman"/>
        <family val="1"/>
      </rPr>
      <t xml:space="preserve"> Ứng dụng công nghệ thông tin hỗ trợ phát triển kinh tế - xã hội và đảm bảo an ninh trật tự vùng đồng bào dân tộc thiểu số và miền núi</t>
    </r>
  </si>
  <si>
    <t>10.3</t>
  </si>
  <si>
    <r>
      <rPr>
        <b/>
        <sz val="11"/>
        <rFont val="Times New Roman"/>
        <family val="1"/>
      </rPr>
      <t>Tiểu dự án 3</t>
    </r>
    <r>
      <rPr>
        <sz val="11"/>
        <rFont val="Times New Roman"/>
        <family val="1"/>
      </rPr>
      <t>: Kiểm tra, giám sát, đánh giá, đào tạo, tập huấn tổ chức thực hiện Chương trình</t>
    </r>
  </si>
  <si>
    <t>t</t>
  </si>
  <si>
    <r>
      <t xml:space="preserve">Phụ lục 02
TÌNH HÌNH THỰC HIỆN VÀ GIẢI NGÂN NGUỒN NGÂN SÁCH TRUNG ƯƠNG CHƯƠNG TRÌNH MỤC TIÊU QUỐC GIA
 PHÁT TRIỂN KINH TẾ-XÃ HỘI VÙNG ĐỒNG BÀO DÂN TỘC THIỂU SỐ VÀ MIỀN NÚI 
NĂM 2024
</t>
    </r>
    <r>
      <rPr>
        <i/>
        <sz val="12"/>
        <rFont val="Times New Roman"/>
        <family val="1"/>
      </rPr>
      <t>(Kèm theo Báo cáo  số    /BC-UBND, ngày    tháng 11 năm 2024 của UBND huyện Tu Mơ Rông)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</si>
</sst>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00_);_(* \(#,##0.00\);_(* &quot;-&quot;??_);_(@_)"/>
    <numFmt numFmtId="166" formatCode="_-* #,##0.0_-;\-* #,##0.0_-;_-* &quot;-&quot;??_-;_-@_-"/>
  </numFmts>
  <fonts count="28" x14ac:knownFonts="1">
    <font>
      <sz val="11"/>
      <color theme="1"/>
      <name val="Calibri"/>
      <family val="2"/>
      <charset val="163"/>
      <scheme val="minor"/>
    </font>
    <font>
      <sz val="11"/>
      <color theme="1"/>
      <name val="Calibri"/>
      <family val="2"/>
      <scheme val="minor"/>
    </font>
    <font>
      <b/>
      <sz val="13"/>
      <color theme="1"/>
      <name val="Times New Roman"/>
      <family val="1"/>
    </font>
    <font>
      <sz val="13"/>
      <color theme="1"/>
      <name val="Times New Roman"/>
      <family val="1"/>
    </font>
    <font>
      <b/>
      <sz val="12"/>
      <color rgb="FF000000"/>
      <name val="Times New Roman"/>
      <family val="1"/>
    </font>
    <font>
      <sz val="12"/>
      <color rgb="FF000000"/>
      <name val="Times New Roman"/>
      <family val="1"/>
    </font>
    <font>
      <b/>
      <sz val="12"/>
      <color theme="1"/>
      <name val="Times New Roman"/>
      <family val="1"/>
    </font>
    <font>
      <sz val="12"/>
      <color theme="1"/>
      <name val="Times New Roman"/>
      <family val="1"/>
    </font>
    <font>
      <sz val="12"/>
      <name val="Times New Roman"/>
      <family val="1"/>
    </font>
    <font>
      <sz val="11"/>
      <color theme="1"/>
      <name val="Calibri"/>
      <family val="2"/>
      <charset val="163"/>
      <scheme val="minor"/>
    </font>
    <font>
      <b/>
      <sz val="11"/>
      <color theme="1"/>
      <name val="Times New Roman"/>
      <family val="1"/>
    </font>
    <font>
      <sz val="10"/>
      <name val="Times New Roman"/>
      <family val="1"/>
    </font>
    <font>
      <sz val="9"/>
      <color theme="1"/>
      <name val="Times New Roman"/>
      <family val="1"/>
    </font>
    <font>
      <sz val="11"/>
      <color rgb="FF000000"/>
      <name val="Times New Roman"/>
      <family val="1"/>
    </font>
    <font>
      <b/>
      <sz val="11"/>
      <name val="Times New Roman"/>
      <family val="1"/>
    </font>
    <font>
      <sz val="11"/>
      <name val="Times New Roman"/>
      <family val="1"/>
    </font>
    <font>
      <b/>
      <u/>
      <sz val="11"/>
      <name val="Times New Roman"/>
      <family val="1"/>
    </font>
    <font>
      <b/>
      <sz val="12"/>
      <name val="Times New Roman"/>
      <family val="1"/>
    </font>
    <font>
      <i/>
      <sz val="12"/>
      <name val="Times New Roman"/>
      <family val="1"/>
    </font>
    <font>
      <sz val="10"/>
      <color theme="1"/>
      <name val="Arial Narrow"/>
      <family val="2"/>
    </font>
    <font>
      <i/>
      <sz val="11"/>
      <name val="Times New Roman"/>
      <family val="1"/>
    </font>
    <font>
      <sz val="9"/>
      <name val="Times New Roman"/>
      <family val="1"/>
    </font>
    <font>
      <sz val="11"/>
      <color rgb="FFFF0000"/>
      <name val="Times New Roman"/>
      <family val="1"/>
    </font>
    <font>
      <b/>
      <sz val="11"/>
      <color rgb="FFFF0000"/>
      <name val="Times New Roman"/>
      <family val="1"/>
    </font>
    <font>
      <sz val="9"/>
      <color rgb="FFFF0000"/>
      <name val="Times New Roman"/>
      <family val="1"/>
    </font>
    <font>
      <sz val="10"/>
      <name val="Arial"/>
      <family val="2"/>
    </font>
    <font>
      <i/>
      <sz val="10"/>
      <name val="Times New Roman"/>
      <family val="1"/>
    </font>
    <font>
      <i/>
      <sz val="8"/>
      <name val="Times New Roman"/>
      <family val="1"/>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9" tint="0.39997558519241921"/>
        <bgColor indexed="64"/>
      </patternFill>
    </fill>
    <fill>
      <patternFill patternType="solid">
        <fgColor rgb="FFCCFF66"/>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43" fontId="9" fillId="0" borderId="0" applyFont="0" applyFill="0" applyBorder="0" applyAlignment="0" applyProtection="0"/>
    <xf numFmtId="0" fontId="1" fillId="0" borderId="0"/>
    <xf numFmtId="0" fontId="19" fillId="0" borderId="0"/>
    <xf numFmtId="0" fontId="8" fillId="0" borderId="0"/>
    <xf numFmtId="0" fontId="25" fillId="0" borderId="0"/>
  </cellStyleXfs>
  <cellXfs count="113">
    <xf numFmtId="0" fontId="0" fillId="0" borderId="0" xfId="0"/>
    <xf numFmtId="0" fontId="3" fillId="0" borderId="0" xfId="0" applyFont="1"/>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6" fillId="0" borderId="4" xfId="0" applyFont="1" applyBorder="1" applyAlignment="1">
      <alignment horizontal="center" wrapText="1"/>
    </xf>
    <xf numFmtId="0" fontId="6" fillId="0" borderId="4" xfId="0" applyFont="1" applyBorder="1" applyAlignment="1">
      <alignment horizontal="center"/>
    </xf>
    <xf numFmtId="0" fontId="0" fillId="0" borderId="0" xfId="0" applyAlignment="1">
      <alignment vertical="center"/>
    </xf>
    <xf numFmtId="0" fontId="8" fillId="3" borderId="1" xfId="0" applyFont="1" applyFill="1" applyBorder="1" applyAlignment="1">
      <alignment vertical="center" wrapText="1"/>
    </xf>
    <xf numFmtId="0" fontId="3" fillId="0" borderId="1" xfId="0" applyFont="1" applyBorder="1" applyAlignment="1">
      <alignment vertical="center"/>
    </xf>
    <xf numFmtId="0" fontId="3" fillId="0" borderId="1" xfId="0" applyFont="1" applyBorder="1" applyAlignment="1">
      <alignment horizontal="center" vertical="center"/>
    </xf>
    <xf numFmtId="0" fontId="8" fillId="0" borderId="1" xfId="0" applyFont="1" applyBorder="1" applyAlignment="1">
      <alignment vertical="center" wrapText="1"/>
    </xf>
    <xf numFmtId="0" fontId="8"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3" fillId="0" borderId="1" xfId="0" quotePrefix="1"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7" fillId="0" borderId="1" xfId="0" quotePrefix="1" applyFont="1" applyBorder="1" applyAlignment="1">
      <alignment horizontal="center" vertical="center"/>
    </xf>
    <xf numFmtId="164" fontId="7" fillId="0" borderId="1" xfId="1" applyNumberFormat="1" applyFont="1" applyBorder="1" applyAlignment="1">
      <alignment vertical="center"/>
    </xf>
    <xf numFmtId="0" fontId="10" fillId="0" borderId="0" xfId="0" applyFont="1"/>
    <xf numFmtId="0" fontId="10" fillId="0" borderId="1" xfId="0" applyFont="1" applyBorder="1"/>
    <xf numFmtId="164" fontId="10" fillId="0" borderId="1" xfId="1" applyNumberFormat="1" applyFont="1" applyBorder="1"/>
    <xf numFmtId="0" fontId="12" fillId="0" borderId="1" xfId="0" applyFont="1" applyBorder="1" applyAlignment="1">
      <alignment horizontal="center" vertical="center" wrapText="1"/>
    </xf>
    <xf numFmtId="0" fontId="10" fillId="0" borderId="1" xfId="0" applyFont="1" applyBorder="1" applyAlignment="1">
      <alignment horizontal="center"/>
    </xf>
    <xf numFmtId="0" fontId="13" fillId="2" borderId="1" xfId="0" applyFont="1" applyFill="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center" vertical="center" wrapText="1"/>
    </xf>
    <xf numFmtId="0" fontId="2" fillId="0" borderId="0" xfId="0" applyFont="1" applyAlignment="1">
      <alignment horizontal="center" vertical="center"/>
    </xf>
    <xf numFmtId="0" fontId="10" fillId="0" borderId="6" xfId="0" applyFont="1" applyBorder="1" applyAlignment="1">
      <alignment horizontal="center"/>
    </xf>
    <xf numFmtId="0" fontId="10" fillId="0" borderId="5" xfId="0" applyFont="1" applyBorder="1" applyAlignment="1">
      <alignment horizontal="center"/>
    </xf>
    <xf numFmtId="0" fontId="6" fillId="0" borderId="0" xfId="0" applyFont="1" applyAlignment="1">
      <alignment horizontal="center" vertical="center" wrapText="1"/>
    </xf>
    <xf numFmtId="0" fontId="6" fillId="0" borderId="0" xfId="0" applyFont="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14" fillId="0" borderId="0" xfId="0" applyFont="1" applyAlignment="1">
      <alignment horizontal="center" vertical="center"/>
    </xf>
    <xf numFmtId="0" fontId="15" fillId="0" borderId="0" xfId="0" applyFont="1" applyAlignment="1">
      <alignment vertical="center"/>
    </xf>
    <xf numFmtId="0" fontId="16" fillId="0" borderId="0" xfId="0" applyFont="1" applyAlignment="1">
      <alignment horizontal="center" vertical="center"/>
    </xf>
    <xf numFmtId="0" fontId="17" fillId="0" borderId="0" xfId="0" applyFont="1" applyAlignment="1">
      <alignment horizontal="center" vertical="center" wrapText="1"/>
    </xf>
    <xf numFmtId="165" fontId="15" fillId="0" borderId="0" xfId="0" applyNumberFormat="1" applyFont="1" applyAlignment="1">
      <alignment vertical="center"/>
    </xf>
    <xf numFmtId="0" fontId="15" fillId="0" borderId="4" xfId="0" applyFont="1" applyBorder="1" applyAlignment="1">
      <alignment horizontal="center" vertical="center"/>
    </xf>
    <xf numFmtId="0" fontId="14" fillId="0" borderId="1" xfId="3" applyFont="1" applyBorder="1" applyAlignment="1">
      <alignment horizontal="center" vertical="center" wrapText="1"/>
    </xf>
    <xf numFmtId="0" fontId="14" fillId="0" borderId="7" xfId="3" applyFont="1" applyBorder="1" applyAlignment="1">
      <alignment horizontal="center" vertical="center" wrapText="1"/>
    </xf>
    <xf numFmtId="0" fontId="14" fillId="0" borderId="8" xfId="3" applyFont="1" applyBorder="1" applyAlignment="1">
      <alignment horizontal="center" vertical="center" wrapText="1"/>
    </xf>
    <xf numFmtId="0" fontId="14" fillId="0" borderId="9" xfId="3" applyFont="1" applyBorder="1" applyAlignment="1">
      <alignment horizontal="center" vertical="center" wrapText="1"/>
    </xf>
    <xf numFmtId="0" fontId="14" fillId="0" borderId="10" xfId="3" applyFont="1" applyBorder="1" applyAlignment="1">
      <alignment horizontal="center" vertical="center" wrapText="1"/>
    </xf>
    <xf numFmtId="0" fontId="14" fillId="0" borderId="4" xfId="3" applyFont="1" applyBorder="1" applyAlignment="1">
      <alignment horizontal="center" vertical="center" wrapText="1"/>
    </xf>
    <xf numFmtId="0" fontId="14" fillId="0" borderId="11" xfId="3" applyFont="1" applyBorder="1" applyAlignment="1">
      <alignment horizontal="center" vertical="center" wrapText="1"/>
    </xf>
    <xf numFmtId="0" fontId="20" fillId="0" borderId="1" xfId="0" applyFont="1" applyBorder="1" applyAlignment="1">
      <alignment horizontal="center" vertical="center" wrapText="1"/>
    </xf>
    <xf numFmtId="0" fontId="15" fillId="0" borderId="1" xfId="3" applyFont="1" applyBorder="1" applyAlignment="1">
      <alignment horizontal="center" vertical="center" wrapText="1"/>
    </xf>
    <xf numFmtId="0" fontId="15" fillId="0" borderId="1" xfId="3" applyFont="1" applyBorder="1" applyAlignment="1">
      <alignment horizontal="center" vertical="center" wrapText="1"/>
    </xf>
    <xf numFmtId="0" fontId="14" fillId="4" borderId="1" xfId="3" applyFont="1" applyFill="1" applyBorder="1" applyAlignment="1">
      <alignment horizontal="center" vertical="center" wrapText="1"/>
    </xf>
    <xf numFmtId="43" fontId="14" fillId="4" borderId="1" xfId="1" applyFont="1" applyFill="1" applyBorder="1" applyAlignment="1">
      <alignment vertical="center"/>
    </xf>
    <xf numFmtId="0" fontId="14" fillId="4" borderId="1" xfId="0" applyFont="1" applyFill="1" applyBorder="1" applyAlignment="1">
      <alignment vertical="center"/>
    </xf>
    <xf numFmtId="0" fontId="14" fillId="0" borderId="0" xfId="0" applyFont="1" applyAlignment="1">
      <alignment vertical="center"/>
    </xf>
    <xf numFmtId="43" fontId="14" fillId="0" borderId="0" xfId="0" applyNumberFormat="1" applyFont="1" applyAlignment="1">
      <alignment vertical="center"/>
    </xf>
    <xf numFmtId="0" fontId="14" fillId="5" borderId="1" xfId="3" applyFont="1" applyFill="1" applyBorder="1" applyAlignment="1">
      <alignment horizontal="center" vertical="center" wrapText="1"/>
    </xf>
    <xf numFmtId="0" fontId="14" fillId="5" borderId="1" xfId="0" applyFont="1" applyFill="1" applyBorder="1" applyAlignment="1">
      <alignment vertical="center" wrapText="1"/>
    </xf>
    <xf numFmtId="166" fontId="14" fillId="5" borderId="1" xfId="1" applyNumberFormat="1" applyFont="1" applyFill="1" applyBorder="1" applyAlignment="1">
      <alignment vertical="center"/>
    </xf>
    <xf numFmtId="43" fontId="14" fillId="5" borderId="1" xfId="1" applyFont="1" applyFill="1" applyBorder="1" applyAlignment="1">
      <alignment vertical="center"/>
    </xf>
    <xf numFmtId="0" fontId="14" fillId="5" borderId="1" xfId="0" applyFont="1" applyFill="1" applyBorder="1" applyAlignment="1">
      <alignment vertical="center"/>
    </xf>
    <xf numFmtId="0" fontId="20" fillId="0" borderId="1" xfId="0" quotePrefix="1" applyFont="1" applyBorder="1" applyAlignment="1">
      <alignment horizontal="center" vertical="top"/>
    </xf>
    <xf numFmtId="0" fontId="20" fillId="0" borderId="1" xfId="4" applyFont="1" applyBorder="1" applyAlignment="1">
      <alignment vertical="center"/>
    </xf>
    <xf numFmtId="43" fontId="20" fillId="0" borderId="1" xfId="1" applyFont="1" applyBorder="1" applyAlignment="1">
      <alignment vertical="center"/>
    </xf>
    <xf numFmtId="43" fontId="20" fillId="3" borderId="1" xfId="1" applyFont="1" applyFill="1" applyBorder="1" applyAlignment="1">
      <alignment vertical="center"/>
    </xf>
    <xf numFmtId="0" fontId="20" fillId="0" borderId="1" xfId="0" applyFont="1" applyBorder="1" applyAlignment="1">
      <alignment vertical="center"/>
    </xf>
    <xf numFmtId="0" fontId="20" fillId="0" borderId="0" xfId="0" applyFont="1" applyAlignment="1">
      <alignment vertical="center"/>
    </xf>
    <xf numFmtId="43" fontId="20" fillId="0" borderId="1" xfId="1" applyFont="1" applyFill="1" applyBorder="1" applyAlignment="1">
      <alignment vertical="center"/>
    </xf>
    <xf numFmtId="43" fontId="21" fillId="0" borderId="1" xfId="1" applyFont="1" applyFill="1" applyBorder="1" applyAlignment="1">
      <alignment horizontal="center" vertical="center" wrapText="1"/>
    </xf>
    <xf numFmtId="0" fontId="20" fillId="0" borderId="1" xfId="0" quotePrefix="1" applyFont="1" applyBorder="1" applyAlignment="1">
      <alignment horizontal="center" vertical="center"/>
    </xf>
    <xf numFmtId="0" fontId="20" fillId="0" borderId="1" xfId="4" applyFont="1" applyBorder="1" applyAlignment="1">
      <alignment vertical="center" wrapText="1"/>
    </xf>
    <xf numFmtId="0" fontId="14" fillId="5" borderId="1" xfId="0" applyFont="1" applyFill="1" applyBorder="1" applyAlignment="1">
      <alignment horizontal="center" vertical="center" wrapText="1"/>
    </xf>
    <xf numFmtId="0" fontId="14" fillId="5" borderId="1" xfId="4" applyFont="1" applyFill="1" applyBorder="1" applyAlignment="1">
      <alignment vertical="center" wrapText="1"/>
    </xf>
    <xf numFmtId="43" fontId="14" fillId="5" borderId="1" xfId="1" applyFont="1" applyFill="1" applyBorder="1" applyAlignment="1">
      <alignment vertical="center" wrapText="1"/>
    </xf>
    <xf numFmtId="0" fontId="14" fillId="5" borderId="1" xfId="0" applyFont="1" applyFill="1" applyBorder="1" applyAlignment="1">
      <alignment horizontal="center" vertical="center"/>
    </xf>
    <xf numFmtId="0" fontId="14" fillId="5" borderId="1" xfId="4" applyFont="1" applyFill="1" applyBorder="1" applyAlignment="1">
      <alignment horizontal="left" vertical="center" wrapText="1"/>
    </xf>
    <xf numFmtId="0" fontId="22" fillId="0" borderId="1" xfId="0" applyFont="1" applyBorder="1" applyAlignment="1">
      <alignment horizontal="center" vertical="center"/>
    </xf>
    <xf numFmtId="0" fontId="22" fillId="0" borderId="1" xfId="4" applyFont="1" applyBorder="1" applyAlignment="1">
      <alignment horizontal="left" vertical="center" wrapText="1"/>
    </xf>
    <xf numFmtId="43" fontId="22" fillId="0" borderId="1" xfId="1" applyFont="1" applyFill="1" applyBorder="1" applyAlignment="1">
      <alignment vertical="center"/>
    </xf>
    <xf numFmtId="164" fontId="22" fillId="0" borderId="1" xfId="1" applyNumberFormat="1" applyFont="1" applyFill="1" applyBorder="1" applyAlignment="1">
      <alignment vertical="center"/>
    </xf>
    <xf numFmtId="43" fontId="24" fillId="0" borderId="1" xfId="1" applyFont="1" applyFill="1" applyBorder="1" applyAlignment="1">
      <alignment horizontal="center" vertical="center" wrapText="1"/>
    </xf>
    <xf numFmtId="0" fontId="22" fillId="0" borderId="1" xfId="0" applyFont="1" applyBorder="1" applyAlignment="1">
      <alignment vertical="center"/>
    </xf>
    <xf numFmtId="0" fontId="22" fillId="0" borderId="0" xfId="0" applyFont="1" applyAlignment="1">
      <alignment vertical="center"/>
    </xf>
    <xf numFmtId="0" fontId="15" fillId="0" borderId="1" xfId="0" applyFont="1" applyBorder="1" applyAlignment="1">
      <alignment horizontal="center" vertical="top"/>
    </xf>
    <xf numFmtId="0" fontId="15" fillId="0" borderId="1" xfId="4" applyFont="1" applyBorder="1" applyAlignment="1">
      <alignment horizontal="left" vertical="center" wrapText="1"/>
    </xf>
    <xf numFmtId="43" fontId="15" fillId="0" borderId="1" xfId="1" applyFont="1" applyFill="1" applyBorder="1" applyAlignment="1">
      <alignment vertical="center"/>
    </xf>
    <xf numFmtId="164" fontId="15" fillId="0" borderId="1" xfId="1" applyNumberFormat="1" applyFont="1" applyFill="1" applyBorder="1" applyAlignment="1">
      <alignment vertical="center"/>
    </xf>
    <xf numFmtId="0" fontId="15" fillId="0" borderId="1" xfId="0" applyFont="1" applyBorder="1" applyAlignment="1">
      <alignment vertical="center"/>
    </xf>
    <xf numFmtId="43" fontId="15" fillId="0" borderId="0" xfId="0" applyNumberFormat="1" applyFont="1" applyAlignment="1">
      <alignment vertical="center"/>
    </xf>
    <xf numFmtId="0" fontId="20" fillId="0" borderId="1" xfId="4" applyFont="1" applyBorder="1" applyAlignment="1">
      <alignment horizontal="left" vertical="center" wrapText="1"/>
    </xf>
    <xf numFmtId="164" fontId="20" fillId="0" borderId="1" xfId="1" applyNumberFormat="1" applyFont="1" applyFill="1" applyBorder="1" applyAlignment="1">
      <alignment vertical="center"/>
    </xf>
    <xf numFmtId="43" fontId="21" fillId="0" borderId="1" xfId="1" applyFont="1" applyFill="1" applyBorder="1" applyAlignment="1">
      <alignment vertical="center"/>
    </xf>
    <xf numFmtId="3" fontId="11" fillId="0" borderId="1" xfId="5" applyNumberFormat="1" applyFont="1" applyBorder="1" applyAlignment="1">
      <alignment horizontal="right" vertical="center" wrapText="1"/>
    </xf>
    <xf numFmtId="3" fontId="26" fillId="0" borderId="1" xfId="5" applyNumberFormat="1" applyFont="1" applyBorder="1" applyAlignment="1">
      <alignment horizontal="right" vertical="center" wrapText="1"/>
    </xf>
    <xf numFmtId="0" fontId="20" fillId="0" borderId="1" xfId="0" applyFont="1" applyBorder="1" applyAlignment="1">
      <alignment horizontal="center" vertical="center" wrapText="1"/>
    </xf>
    <xf numFmtId="164" fontId="20" fillId="0" borderId="0" xfId="0" applyNumberFormat="1" applyFont="1" applyAlignment="1">
      <alignment vertical="center"/>
    </xf>
    <xf numFmtId="0" fontId="15" fillId="0" borderId="1" xfId="0" applyFont="1" applyBorder="1" applyAlignment="1">
      <alignment horizontal="center" vertical="center"/>
    </xf>
    <xf numFmtId="43" fontId="15" fillId="0" borderId="1" xfId="1" applyFont="1" applyBorder="1" applyAlignment="1">
      <alignment vertical="center"/>
    </xf>
    <xf numFmtId="43" fontId="15" fillId="3" borderId="1" xfId="1" applyFont="1" applyFill="1" applyBorder="1" applyAlignment="1">
      <alignment vertical="center"/>
    </xf>
    <xf numFmtId="43" fontId="21" fillId="0" borderId="1" xfId="1" applyFont="1" applyBorder="1" applyAlignment="1">
      <alignment horizontal="center" vertical="center" wrapText="1"/>
    </xf>
    <xf numFmtId="164" fontId="15" fillId="0" borderId="1" xfId="1" applyNumberFormat="1" applyFont="1" applyBorder="1" applyAlignment="1">
      <alignment vertical="center"/>
    </xf>
    <xf numFmtId="0" fontId="21" fillId="0" borderId="0" xfId="0" applyFont="1" applyAlignment="1">
      <alignment horizontal="center" vertical="center" wrapText="1"/>
    </xf>
    <xf numFmtId="0" fontId="20" fillId="0" borderId="1" xfId="4" applyFont="1" applyBorder="1" applyAlignment="1">
      <alignment horizontal="left" vertical="center"/>
    </xf>
    <xf numFmtId="0" fontId="21" fillId="0" borderId="0" xfId="0" applyFont="1" applyAlignment="1">
      <alignment vertical="center" wrapText="1"/>
    </xf>
    <xf numFmtId="164" fontId="15" fillId="3" borderId="1" xfId="1" applyNumberFormat="1" applyFont="1" applyFill="1" applyBorder="1" applyAlignment="1">
      <alignment vertical="center"/>
    </xf>
    <xf numFmtId="164" fontId="14" fillId="5" borderId="1" xfId="1" applyNumberFormat="1" applyFont="1" applyFill="1" applyBorder="1" applyAlignment="1">
      <alignment vertical="center"/>
    </xf>
    <xf numFmtId="43" fontId="14" fillId="5" borderId="1" xfId="1" applyFont="1" applyFill="1" applyBorder="1" applyAlignment="1">
      <alignment horizontal="right" vertical="center"/>
    </xf>
    <xf numFmtId="0" fontId="15" fillId="0" borderId="0" xfId="0" applyFont="1" applyAlignment="1">
      <alignment horizontal="left" vertical="center" wrapText="1"/>
    </xf>
    <xf numFmtId="43" fontId="27" fillId="0" borderId="1" xfId="1" applyFont="1" applyBorder="1" applyAlignment="1">
      <alignment vertical="center" wrapText="1"/>
    </xf>
  </cellXfs>
  <cellStyles count="6">
    <cellStyle name="Comma" xfId="1" builtinId="3"/>
    <cellStyle name="Normal" xfId="0" builtinId="0"/>
    <cellStyle name="Normal 2" xfId="2" xr:uid="{769A0002-1516-40E3-8A98-1E22E2ED1D45}"/>
    <cellStyle name="Normal 2 2" xfId="5" xr:uid="{69CD50B1-49C7-4199-88C1-15F85B864994}"/>
    <cellStyle name="Normal 70 2" xfId="3" xr:uid="{E3A14BAD-6965-489D-8EF6-491B10BB277C}"/>
    <cellStyle name="Normal 71" xfId="4" xr:uid="{E713D8CA-00CC-431F-8ABA-6386CBA3C1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calcChain" Target="calcChain.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166687</xdr:colOff>
      <xdr:row>3</xdr:row>
      <xdr:rowOff>23812</xdr:rowOff>
    </xdr:from>
    <xdr:to>
      <xdr:col>15</xdr:col>
      <xdr:colOff>142875</xdr:colOff>
      <xdr:row>3</xdr:row>
      <xdr:rowOff>23812</xdr:rowOff>
    </xdr:to>
    <xdr:cxnSp macro="">
      <xdr:nvCxnSpPr>
        <xdr:cNvPr id="2" name="Straight Connector 1">
          <a:extLst>
            <a:ext uri="{FF2B5EF4-FFF2-40B4-BE49-F238E27FC236}">
              <a16:creationId xmlns:a16="http://schemas.microsoft.com/office/drawing/2014/main" id="{9F5E7393-12C0-4EEF-A0EC-84829DF86AFD}"/>
            </a:ext>
          </a:extLst>
        </xdr:cNvPr>
        <xdr:cNvCxnSpPr/>
      </xdr:nvCxnSpPr>
      <xdr:spPr>
        <a:xfrm>
          <a:off x="12853987" y="1443037"/>
          <a:ext cx="80486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2024\Chuy&#234;n%20m&#244;n\THam%20m&#432;u%20UB%20HUY&#7878;N\BC%20chinh%20c&#244;ng%20t&#225;c%20d&#226;n%20t&#7897;c\6%20th&#225;ng\BC%20mi&#7873;n%20n&#250;i%20th&#225;ng%203-2024\Ph&#7909;%20l&#7909;c%20I.1-I.2-I.3-II-III%20-%20HUYEN%20TMR.xls" TargetMode="External"/><Relationship Id="rId1" Type="http://schemas.openxmlformats.org/officeDocument/2006/relationships/externalLinkPath" Target="/2024/Chuy&#234;n%20m&#244;n/THam%20m&#432;u%20UB%20HUY&#7878;N/BC%20chinh%20c&#244;ng%20t&#225;c%20d&#226;n%20t&#7897;c/6%20th&#225;ng/BC%20mi&#7873;n%20n&#250;i%20th&#225;ng%203-2024/Ph&#7909;%20l&#7909;c%20I.1-I.2-I.3-II-III%20-%20HUYEN%20TMR.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D:\2024\Chuy&#234;n%20m&#244;n\THam%20m&#432;u%20UB%20HUY&#7878;N\BC%20gi&#7843;i%20ng&#226;n%20CTMT\Gi&#7843;i%20ng&#226;n%20CTMTQG%20(v&#7889;n%20&#273;&#7847;u%20t&#432;)%20(30.10.24).xls" TargetMode="External"/><Relationship Id="rId1" Type="http://schemas.openxmlformats.org/officeDocument/2006/relationships/externalLinkPath" Target="/2024/Chuy&#234;n%20m&#244;n/THam%20m&#432;u%20UB%20HUY&#7878;N/BC%20gi&#7843;i%20ng&#226;n%20CTMT/Gi&#7843;i%20ng&#226;n%20CTMTQG%20(v&#7889;n%20&#273;&#7847;u%20t&#432;)%20(30.10.24).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D:\2024\Chuy&#234;n%20m&#244;n\THam%20m&#432;u%20UB%20HUY&#7878;N\BC%20gi&#7843;i%20ng&#226;n%20CTMT\Gi&#7843;i%20ng&#226;n%20CTMTQG%20(v&#7889;n%20s&#7921;%20nghi&#7879;p%20(30.10.24).xlsx" TargetMode="External"/><Relationship Id="rId1" Type="http://schemas.openxmlformats.org/officeDocument/2006/relationships/externalLinkPath" Target="/2024/Chuy&#234;n%20m&#244;n/THam%20m&#432;u%20UB%20HUY&#7878;N/BC%20gi&#7843;i%20ng&#226;n%20CTMT/Gi&#7843;i%20ng&#226;n%20CTMTQG%20(v&#7889;n%20s&#7921;%20nghi&#7879;p%20(30.10.24).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D:\2024\K&#7871;%20to&#225;n\C&#225;c%20Q&#272;%20li&#234;n%20quan%20&#273;&#7871;n%20kinh%20ph&#237;%202024\Bi&#7875;u%20kinh%20ph&#237;%20CTMTQG%202024.xlsx" TargetMode="External"/><Relationship Id="rId1" Type="http://schemas.openxmlformats.org/officeDocument/2006/relationships/externalLinkPath" Target="/2024/K&#7871;%20to&#225;n/C&#225;c%20Q&#272;%20li&#234;n%20quan%20&#273;&#7871;n%20kinh%20ph&#237;%202024/Bi&#7875;u%20kinh%20ph&#237;%20CTMTQG%202024.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D:\2024\Chuy&#234;n%20m&#244;n\THam%20m&#432;u%20UB%20HUY&#7878;N\VB%20tr&#236;nh%20k&#7923;%20h&#7885;p%20H&#272;ND%20huy&#7879;n\TTR%20tr&#7843;%20v&#7889;n%20CTMT%20(SN)\HO&#192;N%20TR&#7842;%20V&#7888;N%20S&#7920;%20NGHI&#7878;P.xlsx" TargetMode="External"/><Relationship Id="rId1" Type="http://schemas.openxmlformats.org/officeDocument/2006/relationships/externalLinkPath" Target="/2024/Chuy&#234;n%20m&#244;n/THam%20m&#432;u%20UB%20HUY&#7878;N/VB%20tr&#236;nh%20k&#7923;%20h&#7885;p%20H&#272;ND%20huy&#7879;n/TTR%20tr&#7843;%20v&#7889;n%20CTMT%20(SN)/HO&#192;N%20TR&#7842;%20V&#7888;N%20S&#7920;%20NGHI&#7878;P.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D:\2024\Chuy&#234;n%20m&#244;n\THam%20m&#432;u%20UB%20HUY&#7878;N\VB%20tr&#236;nh%20k&#7923;%20h&#7885;p%20H&#272;ND%20huy&#7879;n\Gi&#7843;i%20ng&#226;n%20CTMTQG%20(v&#7889;n%20&#273;&#7847;u%20t&#432;)%20(30.10.24).xls" TargetMode="External"/><Relationship Id="rId1" Type="http://schemas.openxmlformats.org/officeDocument/2006/relationships/externalLinkPath" Target="/2024/Chuy&#234;n%20m&#244;n/THam%20m&#432;u%20UB%20HUY&#7878;N/VB%20tr&#236;nh%20k&#7923;%20h&#7885;p%20H&#272;ND%20huy&#7879;n/Gi&#7843;i%20ng&#226;n%20CTMTQG%20(v&#7889;n%20&#273;&#7847;u%20t&#432;)%20(30.10.24).xls"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D:\2024\Chuy&#234;n%20m&#244;n\THam%20m&#432;u%20UB%20HUY&#7878;N\VB%20tr&#236;nh%20k&#7923;%20h&#7885;p%20H&#272;ND%20huy&#7879;n\Gi&#7843;i%20ng&#226;n%20CTMTQG%20(v&#7889;n%20s&#7921;%20nghi&#7879;p%20(30.10.24).xlsx" TargetMode="External"/><Relationship Id="rId1" Type="http://schemas.openxmlformats.org/officeDocument/2006/relationships/externalLinkPath" Target="/2024/Chuy&#234;n%20m&#244;n/THam%20m&#432;u%20UB%20HUY&#7878;N/VB%20tr&#236;nh%20k&#7923;%20h&#7885;p%20H&#272;ND%20huy&#7879;n/Gi&#7843;i%20ng&#226;n%20CTMTQG%20(v&#7889;n%20s&#7921;%20nghi&#7879;p%20(30.1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LI.1 KQ 2022"/>
      <sheetName val="PLI.2 KQ 2023"/>
      <sheetName val="PLI.3 KQ 2024"/>
      <sheetName val="PLII. KQ thực hiện chỉ tiêu"/>
      <sheetName val="PL.III.Mục tiêu, nhiệm vụ"/>
    </sheetNames>
    <sheetDataSet>
      <sheetData sheetId="0"/>
      <sheetData sheetId="1"/>
      <sheetData sheetId="2">
        <row r="11">
          <cell r="H11">
            <v>41702.977146777768</v>
          </cell>
        </row>
        <row r="13">
          <cell r="H13">
            <v>19192.216106000003</v>
          </cell>
          <cell r="K13">
            <v>15274</v>
          </cell>
          <cell r="L13">
            <v>31</v>
          </cell>
        </row>
        <row r="15">
          <cell r="I15">
            <v>7606.4738459999999</v>
          </cell>
          <cell r="L15">
            <v>9068</v>
          </cell>
        </row>
        <row r="16">
          <cell r="H16">
            <v>14966</v>
          </cell>
          <cell r="I16">
            <v>9137.1992979999995</v>
          </cell>
          <cell r="K16">
            <v>9314</v>
          </cell>
          <cell r="L16">
            <v>17410</v>
          </cell>
        </row>
        <row r="19">
          <cell r="H19">
            <v>2864.7050099999906</v>
          </cell>
          <cell r="I19">
            <v>1.3333270000002813</v>
          </cell>
          <cell r="K19">
            <v>44373.995999999999</v>
          </cell>
          <cell r="L19">
            <v>3961</v>
          </cell>
        </row>
        <row r="22">
          <cell r="H22">
            <v>965.88400000000001</v>
          </cell>
          <cell r="I22">
            <v>566</v>
          </cell>
          <cell r="K22">
            <v>15104</v>
          </cell>
          <cell r="L22">
            <v>472</v>
          </cell>
        </row>
        <row r="24">
          <cell r="I24">
            <v>7041.0966100000005</v>
          </cell>
        </row>
        <row r="25">
          <cell r="I25">
            <v>0.2198399999999765</v>
          </cell>
          <cell r="L25">
            <v>644</v>
          </cell>
        </row>
        <row r="26">
          <cell r="H26">
            <v>696.90598277777735</v>
          </cell>
          <cell r="K26">
            <v>2292</v>
          </cell>
          <cell r="L26">
            <v>597</v>
          </cell>
        </row>
        <row r="28">
          <cell r="I28">
            <v>346.50484600000004</v>
          </cell>
          <cell r="L28">
            <v>1681</v>
          </cell>
        </row>
        <row r="31">
          <cell r="I31">
            <v>1.9599999999999795</v>
          </cell>
          <cell r="L31">
            <v>376</v>
          </cell>
        </row>
        <row r="33">
          <cell r="I33">
            <v>757.5752</v>
          </cell>
        </row>
        <row r="34">
          <cell r="H34">
            <v>1500.351948</v>
          </cell>
          <cell r="I34">
            <v>126</v>
          </cell>
          <cell r="L34">
            <v>188</v>
          </cell>
        </row>
        <row r="35">
          <cell r="I35">
            <v>36.943250000000035</v>
          </cell>
          <cell r="L35">
            <v>304</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ĐT (chi tiết)"/>
      <sheetName val="Sheet1"/>
    </sheetNames>
    <sheetDataSet>
      <sheetData sheetId="0">
        <row r="11">
          <cell r="E11">
            <v>72748.463338000001</v>
          </cell>
          <cell r="J11">
            <v>23999.144000000004</v>
          </cell>
        </row>
        <row r="64">
          <cell r="E64">
            <v>9187.2120000000014</v>
          </cell>
          <cell r="J64">
            <v>4812.085</v>
          </cell>
        </row>
        <row r="100">
          <cell r="L100">
            <v>198.46</v>
          </cell>
        </row>
        <row r="105">
          <cell r="N105">
            <v>27.783000000000001</v>
          </cell>
        </row>
        <row r="108">
          <cell r="K108">
            <v>238.36</v>
          </cell>
        </row>
        <row r="109">
          <cell r="K109">
            <v>625.11659999999995</v>
          </cell>
          <cell r="N109">
            <v>1725.605</v>
          </cell>
        </row>
        <row r="114">
          <cell r="K114">
            <v>11970.459993</v>
          </cell>
          <cell r="N114">
            <v>4914.3466709999993</v>
          </cell>
        </row>
        <row r="121">
          <cell r="K121">
            <v>2841.4</v>
          </cell>
          <cell r="N121">
            <v>25351.191429000006</v>
          </cell>
        </row>
        <row r="179">
          <cell r="K179">
            <v>1568.884</v>
          </cell>
          <cell r="N179">
            <v>13822.521000000001</v>
          </cell>
        </row>
        <row r="204">
          <cell r="K204">
            <v>4398.1090000000004</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SN"/>
      <sheetName val="TP Kon Tum"/>
      <sheetName val="Dak Ha"/>
      <sheetName val="Dak To"/>
      <sheetName val="Ngoc Hoi"/>
      <sheetName val="Dak Glei"/>
      <sheetName val="Sa Thay"/>
      <sheetName val="Ia H'Drai"/>
      <sheetName val="Kon Ray"/>
      <sheetName val="Kon Plong"/>
      <sheetName val="Tu Mo Rong"/>
      <sheetName val="TT"/>
      <sheetName val="TP"/>
      <sheetName val="DH"/>
      <sheetName val="DT"/>
      <sheetName val="NH"/>
      <sheetName val="DL"/>
      <sheetName val="ST"/>
      <sheetName val="IA"/>
      <sheetName val="KR"/>
      <sheetName val="KL"/>
      <sheetName val="TMR"/>
      <sheetName val="BSMT huyen 2021"/>
      <sheetName val="nop tra 2020"/>
      <sheetName val="Sheet1"/>
      <sheetName val="TT(17032022)"/>
    </sheetNames>
    <sheetDataSet>
      <sheetData sheetId="0">
        <row r="10">
          <cell r="D10">
            <v>37550.701753000001</v>
          </cell>
          <cell r="I10">
            <v>12619.256789000001</v>
          </cell>
        </row>
        <row r="123">
          <cell r="D123">
            <v>2837.0024210000001</v>
          </cell>
          <cell r="I123">
            <v>491</v>
          </cell>
        </row>
        <row r="177">
          <cell r="J177">
            <v>5.79</v>
          </cell>
          <cell r="K177">
            <v>632.12212199999999</v>
          </cell>
        </row>
        <row r="189">
          <cell r="J189">
            <v>38.08</v>
          </cell>
          <cell r="K189">
            <v>5233.7439999999997</v>
          </cell>
        </row>
        <row r="203">
          <cell r="J203">
            <v>0</v>
          </cell>
          <cell r="K203">
            <v>1404</v>
          </cell>
        </row>
        <row r="224">
          <cell r="K224">
            <v>83.7</v>
          </cell>
        </row>
        <row r="240">
          <cell r="I240">
            <v>788.7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L I nhiệm vụ"/>
      <sheetName val="PL II tổng 3 CT"/>
      <sheetName val="PL III tổng vốn các đơn vị"/>
      <sheetName val="PL III.1 đầu tư "/>
      <sheetName val="PL III.2 SNGN "/>
      <sheetName val="PL III.3 SNNTM "/>
      <sheetName val="PL III.4 SNDTTSMN"/>
    </sheetNames>
    <sheetDataSet>
      <sheetData sheetId="0"/>
      <sheetData sheetId="1"/>
      <sheetData sheetId="2"/>
      <sheetData sheetId="3">
        <row r="45">
          <cell r="S45">
            <v>793.56478800000002</v>
          </cell>
        </row>
        <row r="52">
          <cell r="S52">
            <v>198.49</v>
          </cell>
        </row>
        <row r="55">
          <cell r="S55">
            <v>2408.9443999999985</v>
          </cell>
        </row>
      </sheetData>
      <sheetData sheetId="4"/>
      <sheetData sheetId="5"/>
      <sheetData sheetId="6">
        <row r="13">
          <cell r="D13">
            <v>3839</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H"/>
      <sheetName val="PL01-2022"/>
      <sheetName val="PL02-2023"/>
      <sheetName val="PL03-2024"/>
    </sheetNames>
    <sheetDataSet>
      <sheetData sheetId="0"/>
      <sheetData sheetId="1">
        <row r="10">
          <cell r="F10">
            <v>-38.204000000000001</v>
          </cell>
        </row>
      </sheetData>
      <sheetData sheetId="2">
        <row r="10">
          <cell r="F10">
            <v>-7163.2008919999998</v>
          </cell>
        </row>
      </sheetData>
      <sheetData sheetId="3">
        <row r="10">
          <cell r="E10">
            <v>-6332.5050000000001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ĐT (chi tiết)"/>
      <sheetName val="Sheet1"/>
    </sheetNames>
    <sheetDataSet>
      <sheetData sheetId="0">
        <row r="187">
          <cell r="L187">
            <v>0</v>
          </cell>
          <cell r="N187">
            <v>1433.7159999999999</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SN"/>
      <sheetName val="TP Kon Tum"/>
      <sheetName val="Dak Ha"/>
      <sheetName val="Dak To"/>
      <sheetName val="Ngoc Hoi"/>
      <sheetName val="Dak Glei"/>
      <sheetName val="Sa Thay"/>
      <sheetName val="Ia H'Drai"/>
      <sheetName val="Kon Ray"/>
      <sheetName val="Kon Plong"/>
      <sheetName val="Tu Mo Rong"/>
      <sheetName val="TT"/>
      <sheetName val="TP"/>
      <sheetName val="DH"/>
      <sheetName val="DT"/>
      <sheetName val="NH"/>
      <sheetName val="DL"/>
      <sheetName val="ST"/>
      <sheetName val="IA"/>
      <sheetName val="KR"/>
      <sheetName val="KL"/>
      <sheetName val="TMR"/>
      <sheetName val="BSMT huyen 2021"/>
      <sheetName val="nop tra 2020"/>
      <sheetName val="Sheet1"/>
      <sheetName val="TT(17032022)"/>
    </sheetNames>
    <sheetDataSet>
      <sheetData sheetId="0">
        <row r="222">
          <cell r="J222">
            <v>0</v>
          </cell>
          <cell r="K222">
            <v>596.88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6"/>
  <sheetViews>
    <sheetView workbookViewId="0">
      <selection activeCell="H14" sqref="H14"/>
    </sheetView>
  </sheetViews>
  <sheetFormatPr defaultColWidth="8.7109375" defaultRowHeight="16.5" x14ac:dyDescent="0.25"/>
  <cols>
    <col min="1" max="1" width="5.5703125" style="1" customWidth="1"/>
    <col min="2" max="2" width="18.7109375" style="1" customWidth="1"/>
    <col min="3" max="3" width="20.140625" style="1" customWidth="1"/>
    <col min="4" max="4" width="16.42578125" style="1" customWidth="1"/>
    <col min="5" max="5" width="36.5703125" style="1" customWidth="1"/>
    <col min="6" max="16384" width="8.7109375" style="1"/>
  </cols>
  <sheetData>
    <row r="1" spans="1:5" x14ac:dyDescent="0.25">
      <c r="A1" s="28" t="s">
        <v>5</v>
      </c>
      <c r="B1" s="28"/>
      <c r="C1" s="28"/>
      <c r="D1" s="28"/>
      <c r="E1" s="28"/>
    </row>
    <row r="2" spans="1:5" ht="34.5" customHeight="1" x14ac:dyDescent="0.25">
      <c r="A2" s="29" t="s">
        <v>16</v>
      </c>
      <c r="B2" s="30"/>
      <c r="C2" s="30"/>
      <c r="D2" s="30"/>
      <c r="E2" s="30"/>
    </row>
    <row r="3" spans="1:5" x14ac:dyDescent="0.25">
      <c r="A3" s="2"/>
      <c r="B3" s="2"/>
      <c r="C3" s="2"/>
      <c r="D3" s="2"/>
      <c r="E3" s="2"/>
    </row>
    <row r="4" spans="1:5" ht="33" x14ac:dyDescent="0.25">
      <c r="A4" s="3" t="s">
        <v>0</v>
      </c>
      <c r="B4" s="3" t="s">
        <v>1</v>
      </c>
      <c r="C4" s="4" t="s">
        <v>3</v>
      </c>
      <c r="D4" s="4" t="s">
        <v>4</v>
      </c>
      <c r="E4" s="3" t="s">
        <v>2</v>
      </c>
    </row>
    <row r="5" spans="1:5" ht="60" customHeight="1" x14ac:dyDescent="0.25">
      <c r="A5" s="15" t="s">
        <v>6</v>
      </c>
      <c r="B5" s="13" t="s">
        <v>47</v>
      </c>
      <c r="C5" s="11" t="s">
        <v>35</v>
      </c>
      <c r="D5" s="11" t="s">
        <v>34</v>
      </c>
      <c r="E5" s="12" t="s">
        <v>59</v>
      </c>
    </row>
    <row r="6" spans="1:5" ht="84" customHeight="1" x14ac:dyDescent="0.25">
      <c r="A6" s="15" t="s">
        <v>7</v>
      </c>
      <c r="B6" s="13" t="s">
        <v>48</v>
      </c>
      <c r="C6" s="11" t="s">
        <v>36</v>
      </c>
      <c r="D6" s="11" t="s">
        <v>34</v>
      </c>
      <c r="E6" s="9" t="s">
        <v>60</v>
      </c>
    </row>
    <row r="7" spans="1:5" ht="84.75" customHeight="1" x14ac:dyDescent="0.25">
      <c r="A7" s="15" t="s">
        <v>8</v>
      </c>
      <c r="B7" s="16" t="s">
        <v>49</v>
      </c>
      <c r="C7" s="11" t="s">
        <v>37</v>
      </c>
      <c r="D7" s="11" t="s">
        <v>34</v>
      </c>
      <c r="E7" s="17" t="s">
        <v>61</v>
      </c>
    </row>
    <row r="8" spans="1:5" ht="79.5" customHeight="1" x14ac:dyDescent="0.25">
      <c r="A8" s="15" t="s">
        <v>9</v>
      </c>
      <c r="B8" s="16" t="s">
        <v>50</v>
      </c>
      <c r="C8" s="11" t="s">
        <v>38</v>
      </c>
      <c r="D8" s="11" t="s">
        <v>34</v>
      </c>
      <c r="E8" s="17" t="s">
        <v>62</v>
      </c>
    </row>
    <row r="9" spans="1:5" ht="108.75" customHeight="1" x14ac:dyDescent="0.25">
      <c r="A9" s="15" t="s">
        <v>10</v>
      </c>
      <c r="B9" s="16" t="s">
        <v>51</v>
      </c>
      <c r="C9" s="11" t="s">
        <v>39</v>
      </c>
      <c r="D9" s="11" t="s">
        <v>34</v>
      </c>
      <c r="E9" s="17" t="s">
        <v>63</v>
      </c>
    </row>
    <row r="10" spans="1:5" ht="148.5" customHeight="1" x14ac:dyDescent="0.25">
      <c r="A10" s="15" t="s">
        <v>11</v>
      </c>
      <c r="B10" s="16" t="s">
        <v>52</v>
      </c>
      <c r="C10" s="11" t="s">
        <v>40</v>
      </c>
      <c r="D10" s="11" t="s">
        <v>34</v>
      </c>
      <c r="E10" s="17" t="s">
        <v>64</v>
      </c>
    </row>
    <row r="11" spans="1:5" ht="114.75" customHeight="1" x14ac:dyDescent="0.25">
      <c r="A11" s="15" t="s">
        <v>12</v>
      </c>
      <c r="B11" s="16" t="s">
        <v>53</v>
      </c>
      <c r="C11" s="11" t="s">
        <v>41</v>
      </c>
      <c r="D11" s="11" t="s">
        <v>34</v>
      </c>
      <c r="E11" s="17" t="s">
        <v>65</v>
      </c>
    </row>
    <row r="12" spans="1:5" ht="55.5" customHeight="1" x14ac:dyDescent="0.25">
      <c r="A12" s="15" t="s">
        <v>13</v>
      </c>
      <c r="B12" s="16" t="s">
        <v>54</v>
      </c>
      <c r="C12" s="11" t="s">
        <v>42</v>
      </c>
      <c r="D12" s="11" t="s">
        <v>34</v>
      </c>
      <c r="E12" s="17" t="s">
        <v>66</v>
      </c>
    </row>
    <row r="13" spans="1:5" ht="81.75" customHeight="1" x14ac:dyDescent="0.25">
      <c r="A13" s="15" t="s">
        <v>14</v>
      </c>
      <c r="B13" s="13" t="s">
        <v>55</v>
      </c>
      <c r="C13" s="11" t="s">
        <v>43</v>
      </c>
      <c r="D13" s="11" t="s">
        <v>34</v>
      </c>
      <c r="E13" s="17" t="s">
        <v>67</v>
      </c>
    </row>
    <row r="14" spans="1:5" ht="147" customHeight="1" x14ac:dyDescent="0.25">
      <c r="A14" s="15" t="s">
        <v>15</v>
      </c>
      <c r="B14" s="13" t="s">
        <v>56</v>
      </c>
      <c r="C14" s="11" t="s">
        <v>44</v>
      </c>
      <c r="D14" s="11" t="s">
        <v>34</v>
      </c>
      <c r="E14" s="17" t="s">
        <v>68</v>
      </c>
    </row>
    <row r="15" spans="1:5" ht="96" customHeight="1" x14ac:dyDescent="0.25">
      <c r="A15" s="11">
        <v>11</v>
      </c>
      <c r="B15" s="13" t="s">
        <v>57</v>
      </c>
      <c r="C15" s="11" t="s">
        <v>45</v>
      </c>
      <c r="D15" s="11" t="s">
        <v>34</v>
      </c>
      <c r="E15" s="17" t="s">
        <v>69</v>
      </c>
    </row>
    <row r="16" spans="1:5" ht="149.25" customHeight="1" x14ac:dyDescent="0.25">
      <c r="A16" s="10">
        <v>12</v>
      </c>
      <c r="B16" s="14" t="s">
        <v>58</v>
      </c>
      <c r="C16" s="11" t="s">
        <v>46</v>
      </c>
      <c r="D16" s="11" t="s">
        <v>34</v>
      </c>
      <c r="E16" s="17" t="s">
        <v>70</v>
      </c>
    </row>
  </sheetData>
  <mergeCells count="2">
    <mergeCell ref="A1:E1"/>
    <mergeCell ref="A2:E2"/>
  </mergeCell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63"/>
  <sheetViews>
    <sheetView tabSelected="1" topLeftCell="A16" workbookViewId="0">
      <selection activeCell="F9" sqref="F9"/>
    </sheetView>
  </sheetViews>
  <sheetFormatPr defaultColWidth="9.140625" defaultRowHeight="15" x14ac:dyDescent="0.25"/>
  <cols>
    <col min="1" max="1" width="5.7109375" style="40" customWidth="1"/>
    <col min="2" max="2" width="30.28515625" style="40" customWidth="1"/>
    <col min="3" max="3" width="14.28515625" style="40" customWidth="1"/>
    <col min="4" max="4" width="12" style="40" customWidth="1"/>
    <col min="5" max="5" width="12.140625" style="40" customWidth="1"/>
    <col min="6" max="6" width="13.140625" style="40" customWidth="1"/>
    <col min="7" max="8" width="13.7109375" style="40" customWidth="1"/>
    <col min="9" max="9" width="11.7109375" style="40" customWidth="1"/>
    <col min="10" max="10" width="13.7109375" style="40" customWidth="1"/>
    <col min="11" max="11" width="12.7109375" style="40" customWidth="1"/>
    <col min="12" max="12" width="12.28515625" style="40" customWidth="1"/>
    <col min="13" max="13" width="11.140625" style="40" customWidth="1"/>
    <col min="14" max="14" width="13.7109375" style="40" customWidth="1"/>
    <col min="15" max="15" width="12.42578125" style="40" customWidth="1"/>
    <col min="16" max="16" width="11.85546875" style="40" customWidth="1"/>
    <col min="17" max="17" width="15.42578125" style="40" customWidth="1"/>
    <col min="18" max="18" width="12.5703125" style="40" customWidth="1"/>
    <col min="19" max="19" width="12.42578125" style="40" customWidth="1"/>
    <col min="20" max="20" width="15.140625" style="40" customWidth="1"/>
    <col min="21" max="21" width="15.85546875" style="40" customWidth="1"/>
    <col min="22" max="22" width="12.42578125" style="40" customWidth="1"/>
    <col min="23" max="23" width="12.5703125" style="40" customWidth="1"/>
    <col min="24" max="26" width="11.140625" style="40" customWidth="1"/>
    <col min="27" max="27" width="13.85546875" style="40" customWidth="1"/>
    <col min="28" max="28" width="11.140625" style="40" customWidth="1"/>
    <col min="29" max="29" width="12.7109375" style="40" customWidth="1"/>
    <col min="30" max="30" width="11.140625" style="40" customWidth="1"/>
    <col min="31" max="31" width="12.85546875" style="40" customWidth="1"/>
    <col min="32" max="32" width="67" style="40" customWidth="1"/>
    <col min="33" max="33" width="6.5703125" style="40" customWidth="1"/>
    <col min="34" max="34" width="9.140625" style="40"/>
    <col min="35" max="35" width="30.5703125" style="40" customWidth="1"/>
    <col min="36" max="47" width="9.140625" style="40"/>
    <col min="48" max="48" width="92.7109375" style="40" customWidth="1"/>
    <col min="49" max="16384" width="9.140625" style="40"/>
  </cols>
  <sheetData>
    <row r="1" spans="1:48" x14ac:dyDescent="0.25">
      <c r="A1" s="39" t="s">
        <v>82</v>
      </c>
      <c r="B1" s="39"/>
      <c r="C1" s="39"/>
      <c r="D1" s="39"/>
      <c r="U1" s="39" t="s">
        <v>83</v>
      </c>
      <c r="V1" s="39"/>
      <c r="W1" s="39"/>
      <c r="X1" s="39"/>
      <c r="Y1" s="39"/>
      <c r="Z1" s="39"/>
      <c r="AA1" s="39"/>
      <c r="AB1" s="39"/>
      <c r="AC1" s="39"/>
      <c r="AD1" s="39"/>
      <c r="AE1" s="39"/>
      <c r="AF1" s="39"/>
      <c r="AG1" s="39"/>
    </row>
    <row r="2" spans="1:48" x14ac:dyDescent="0.25">
      <c r="A2" s="41" t="s">
        <v>84</v>
      </c>
      <c r="B2" s="41"/>
      <c r="C2" s="41"/>
      <c r="D2" s="41"/>
      <c r="U2" s="41" t="s">
        <v>85</v>
      </c>
      <c r="V2" s="41"/>
      <c r="W2" s="41"/>
      <c r="X2" s="41"/>
      <c r="Y2" s="41"/>
      <c r="Z2" s="41"/>
      <c r="AA2" s="41"/>
      <c r="AB2" s="41"/>
      <c r="AC2" s="41"/>
      <c r="AD2" s="41"/>
      <c r="AE2" s="41"/>
      <c r="AF2" s="41"/>
      <c r="AG2" s="41"/>
    </row>
    <row r="3" spans="1:48" ht="81.75" customHeight="1" x14ac:dyDescent="0.25">
      <c r="A3" s="42" t="s">
        <v>160</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row>
    <row r="4" spans="1:48" x14ac:dyDescent="0.25">
      <c r="C4" s="43"/>
      <c r="D4" s="43"/>
      <c r="G4" s="43"/>
      <c r="S4" s="43"/>
      <c r="AF4" s="44"/>
      <c r="AG4" s="44"/>
    </row>
    <row r="5" spans="1:48" ht="27.75" customHeight="1" x14ac:dyDescent="0.25">
      <c r="A5" s="45" t="s">
        <v>86</v>
      </c>
      <c r="B5" s="45" t="s">
        <v>87</v>
      </c>
      <c r="C5" s="45" t="s">
        <v>88</v>
      </c>
      <c r="D5" s="45"/>
      <c r="E5" s="45"/>
      <c r="F5" s="45"/>
      <c r="G5" s="45"/>
      <c r="H5" s="45"/>
      <c r="I5" s="45"/>
      <c r="J5" s="45" t="s">
        <v>89</v>
      </c>
      <c r="K5" s="45"/>
      <c r="L5" s="45"/>
      <c r="M5" s="45"/>
      <c r="N5" s="45"/>
      <c r="O5" s="45"/>
      <c r="P5" s="45"/>
      <c r="Q5" s="45" t="s">
        <v>90</v>
      </c>
      <c r="R5" s="45"/>
      <c r="S5" s="45"/>
      <c r="T5" s="45"/>
      <c r="U5" s="45"/>
      <c r="V5" s="45"/>
      <c r="W5" s="45"/>
      <c r="X5" s="46" t="s">
        <v>91</v>
      </c>
      <c r="Y5" s="47"/>
      <c r="Z5" s="48"/>
      <c r="AA5" s="45" t="s">
        <v>92</v>
      </c>
      <c r="AB5" s="45" t="s">
        <v>93</v>
      </c>
      <c r="AC5" s="45"/>
      <c r="AD5" s="45"/>
      <c r="AE5" s="45"/>
      <c r="AF5" s="45" t="s">
        <v>94</v>
      </c>
      <c r="AG5" s="45" t="s">
        <v>20</v>
      </c>
    </row>
    <row r="6" spans="1:48" ht="45" customHeight="1" x14ac:dyDescent="0.25">
      <c r="A6" s="45"/>
      <c r="B6" s="45"/>
      <c r="C6" s="45" t="s">
        <v>95</v>
      </c>
      <c r="D6" s="45" t="s">
        <v>96</v>
      </c>
      <c r="E6" s="45"/>
      <c r="F6" s="45"/>
      <c r="G6" s="45" t="s">
        <v>97</v>
      </c>
      <c r="H6" s="45"/>
      <c r="I6" s="45"/>
      <c r="J6" s="45" t="s">
        <v>95</v>
      </c>
      <c r="K6" s="45" t="s">
        <v>96</v>
      </c>
      <c r="L6" s="45"/>
      <c r="M6" s="45"/>
      <c r="N6" s="45" t="s">
        <v>97</v>
      </c>
      <c r="O6" s="45"/>
      <c r="P6" s="45"/>
      <c r="Q6" s="45" t="s">
        <v>95</v>
      </c>
      <c r="R6" s="45" t="s">
        <v>98</v>
      </c>
      <c r="S6" s="45"/>
      <c r="T6" s="45"/>
      <c r="U6" s="45" t="s">
        <v>97</v>
      </c>
      <c r="V6" s="45"/>
      <c r="W6" s="45"/>
      <c r="X6" s="49"/>
      <c r="Y6" s="50"/>
      <c r="Z6" s="51"/>
      <c r="AA6" s="45"/>
      <c r="AB6" s="45" t="s">
        <v>99</v>
      </c>
      <c r="AC6" s="45"/>
      <c r="AD6" s="45" t="s">
        <v>100</v>
      </c>
      <c r="AE6" s="45"/>
      <c r="AF6" s="45"/>
      <c r="AG6" s="45"/>
    </row>
    <row r="7" spans="1:48" ht="27" customHeight="1" x14ac:dyDescent="0.25">
      <c r="A7" s="45"/>
      <c r="B7" s="45"/>
      <c r="C7" s="45"/>
      <c r="D7" s="45" t="s">
        <v>95</v>
      </c>
      <c r="E7" s="52" t="s">
        <v>93</v>
      </c>
      <c r="F7" s="52"/>
      <c r="G7" s="45" t="s">
        <v>95</v>
      </c>
      <c r="H7" s="52" t="s">
        <v>93</v>
      </c>
      <c r="I7" s="52"/>
      <c r="J7" s="45"/>
      <c r="K7" s="45" t="s">
        <v>95</v>
      </c>
      <c r="L7" s="52" t="s">
        <v>93</v>
      </c>
      <c r="M7" s="52"/>
      <c r="N7" s="45" t="s">
        <v>95</v>
      </c>
      <c r="O7" s="52" t="s">
        <v>93</v>
      </c>
      <c r="P7" s="52"/>
      <c r="Q7" s="45"/>
      <c r="R7" s="45" t="s">
        <v>95</v>
      </c>
      <c r="S7" s="52" t="s">
        <v>93</v>
      </c>
      <c r="T7" s="52"/>
      <c r="U7" s="45" t="s">
        <v>95</v>
      </c>
      <c r="V7" s="52" t="s">
        <v>93</v>
      </c>
      <c r="W7" s="52"/>
      <c r="X7" s="45" t="s">
        <v>95</v>
      </c>
      <c r="Y7" s="52" t="s">
        <v>93</v>
      </c>
      <c r="Z7" s="52"/>
      <c r="AA7" s="45"/>
      <c r="AB7" s="53" t="s">
        <v>101</v>
      </c>
      <c r="AC7" s="53" t="s">
        <v>102</v>
      </c>
      <c r="AD7" s="53" t="s">
        <v>101</v>
      </c>
      <c r="AE7" s="53" t="s">
        <v>102</v>
      </c>
      <c r="AF7" s="45"/>
      <c r="AG7" s="45"/>
    </row>
    <row r="8" spans="1:48" ht="39" customHeight="1" x14ac:dyDescent="0.25">
      <c r="A8" s="45"/>
      <c r="B8" s="45"/>
      <c r="C8" s="45"/>
      <c r="D8" s="45"/>
      <c r="E8" s="54" t="s">
        <v>101</v>
      </c>
      <c r="F8" s="54" t="s">
        <v>102</v>
      </c>
      <c r="G8" s="45"/>
      <c r="H8" s="54" t="s">
        <v>101</v>
      </c>
      <c r="I8" s="54" t="s">
        <v>102</v>
      </c>
      <c r="J8" s="45"/>
      <c r="K8" s="45"/>
      <c r="L8" s="54" t="s">
        <v>101</v>
      </c>
      <c r="M8" s="54" t="s">
        <v>102</v>
      </c>
      <c r="N8" s="45"/>
      <c r="O8" s="54" t="s">
        <v>101</v>
      </c>
      <c r="P8" s="54" t="s">
        <v>102</v>
      </c>
      <c r="Q8" s="45"/>
      <c r="R8" s="45"/>
      <c r="S8" s="54" t="s">
        <v>101</v>
      </c>
      <c r="T8" s="54" t="s">
        <v>102</v>
      </c>
      <c r="U8" s="45"/>
      <c r="V8" s="54" t="s">
        <v>101</v>
      </c>
      <c r="W8" s="54" t="s">
        <v>102</v>
      </c>
      <c r="X8" s="45"/>
      <c r="Y8" s="54" t="s">
        <v>101</v>
      </c>
      <c r="Z8" s="54" t="s">
        <v>102</v>
      </c>
      <c r="AA8" s="45"/>
      <c r="AB8" s="53"/>
      <c r="AC8" s="53"/>
      <c r="AD8" s="53"/>
      <c r="AE8" s="53"/>
      <c r="AF8" s="45"/>
      <c r="AG8" s="45"/>
    </row>
    <row r="9" spans="1:48" s="58" customFormat="1" ht="36" customHeight="1" x14ac:dyDescent="0.25">
      <c r="A9" s="55"/>
      <c r="B9" s="55" t="s">
        <v>95</v>
      </c>
      <c r="C9" s="56">
        <f>C10+C17+C18+C24+C26+C34+C35+C36+C41+C44</f>
        <v>198072.81005177775</v>
      </c>
      <c r="D9" s="56">
        <f>D10+D17+D18+D24+D26+D34+D35+D36+D41+D44</f>
        <v>69371.319709777774</v>
      </c>
      <c r="E9" s="56">
        <f t="shared" ref="E9:AE9" si="0">E10+E17+E18+E24+E26+E34+E35+E36+E41+E44</f>
        <v>41702.977146777761</v>
      </c>
      <c r="F9" s="56">
        <f t="shared" si="0"/>
        <v>27321.837717000002</v>
      </c>
      <c r="G9" s="56">
        <f t="shared" si="0"/>
        <v>129047.995188</v>
      </c>
      <c r="H9" s="56">
        <f t="shared" si="0"/>
        <v>89758.995188000001</v>
      </c>
      <c r="I9" s="56">
        <f>I10+I17+I18+I24+I26+I34+I35+I36+I41+I44</f>
        <v>39289</v>
      </c>
      <c r="J9" s="56">
        <f>J10+J17+J18+J24+J26+J34+J35+J36+J41+J44</f>
        <v>80293.591815000007</v>
      </c>
      <c r="K9" s="56">
        <f t="shared" ref="K9:P9" si="1">K10+K17+K18+K24+K26+K34+K35+K36+K41+K44</f>
        <v>22988.958639</v>
      </c>
      <c r="L9" s="56">
        <f t="shared" si="1"/>
        <v>21840.789593000001</v>
      </c>
      <c r="M9" s="56">
        <f t="shared" si="1"/>
        <v>390.59384600000004</v>
      </c>
      <c r="N9" s="56">
        <f t="shared" si="1"/>
        <v>57304.633176000003</v>
      </c>
      <c r="O9" s="56">
        <f t="shared" si="1"/>
        <v>47275.163100000005</v>
      </c>
      <c r="P9" s="56">
        <f t="shared" si="1"/>
        <v>9292.345276</v>
      </c>
      <c r="Q9" s="56">
        <f>Q10+Q17+Q18+Q24+Q26+Q34+Q35+Q36+Q41+Q44</f>
        <v>161698.99872277776</v>
      </c>
      <c r="R9" s="56">
        <f t="shared" ref="R9:W9" si="2">R10+R17+R18+R24+R26+R34+R35+R36+R41+R44</f>
        <v>48290.160034777771</v>
      </c>
      <c r="S9" s="56">
        <f t="shared" si="2"/>
        <v>41530.977146777761</v>
      </c>
      <c r="T9" s="56">
        <f t="shared" si="2"/>
        <v>6588.5162150000015</v>
      </c>
      <c r="U9" s="56">
        <f t="shared" si="2"/>
        <v>113408.838688</v>
      </c>
      <c r="V9" s="56">
        <f t="shared" si="2"/>
        <v>89758.995188000001</v>
      </c>
      <c r="W9" s="56">
        <f t="shared" si="2"/>
        <v>22931.843499999999</v>
      </c>
      <c r="X9" s="56">
        <f>Q9/C9*100</f>
        <v>81.636141114223804</v>
      </c>
      <c r="Y9" s="56">
        <f>(V9+S9)/(H9+E9)*100</f>
        <v>99.8691636851743</v>
      </c>
      <c r="Z9" s="56">
        <f>(W9+T9)/(F9+I9)*100</f>
        <v>44.317652692522728</v>
      </c>
      <c r="AA9" s="56">
        <f>AA10+AA17+AA18+AA24+AA26+AA34+AA35+AA36+AA41+AA44</f>
        <v>36372.358002000001</v>
      </c>
      <c r="AB9" s="56">
        <f>AB10+AB17+AB18+AB24+AB26+AB34+AB35+AB36+AB41+AB44</f>
        <v>0</v>
      </c>
      <c r="AC9" s="56">
        <f>AC10+AC17+AC18+AC24+AC26+AC34+AC35+AC36+AC41+AC44</f>
        <v>20733.321501999999</v>
      </c>
      <c r="AD9" s="56">
        <f t="shared" si="0"/>
        <v>0</v>
      </c>
      <c r="AE9" s="56">
        <f t="shared" si="0"/>
        <v>15639.036500000002</v>
      </c>
      <c r="AF9" s="56"/>
      <c r="AG9" s="57"/>
      <c r="AI9" s="59"/>
      <c r="AV9" s="59"/>
    </row>
    <row r="10" spans="1:48" s="58" customFormat="1" ht="45" customHeight="1" x14ac:dyDescent="0.25">
      <c r="A10" s="60">
        <v>1</v>
      </c>
      <c r="B10" s="61" t="s">
        <v>103</v>
      </c>
      <c r="C10" s="62">
        <f>SUM(C11:C16)</f>
        <v>10470.444788000001</v>
      </c>
      <c r="D10" s="62">
        <f t="shared" ref="D10:AB10" si="3">SUM(D11:D16)</f>
        <v>3230.4456000000009</v>
      </c>
      <c r="E10" s="63">
        <f>SUM(E11:E16)</f>
        <v>1716.9141000000009</v>
      </c>
      <c r="F10" s="63">
        <f t="shared" si="3"/>
        <v>1513.5315000000001</v>
      </c>
      <c r="G10" s="63">
        <f t="shared" si="3"/>
        <v>7239.999187999998</v>
      </c>
      <c r="H10" s="63">
        <f t="shared" si="3"/>
        <v>3400.9991879999984</v>
      </c>
      <c r="I10" s="63">
        <f t="shared" si="3"/>
        <v>3839</v>
      </c>
      <c r="J10" s="63">
        <f>SUM(J11:J16)</f>
        <v>2815.3245999999999</v>
      </c>
      <c r="K10" s="63">
        <f t="shared" ref="K10:P10" si="4">SUM(K11:K16)</f>
        <v>1061.9366</v>
      </c>
      <c r="L10" s="63">
        <f t="shared" si="4"/>
        <v>1061.9366</v>
      </c>
      <c r="M10" s="63">
        <f t="shared" si="4"/>
        <v>0</v>
      </c>
      <c r="N10" s="63">
        <f t="shared" si="4"/>
        <v>1753.3879999999999</v>
      </c>
      <c r="O10" s="63">
        <f t="shared" si="4"/>
        <v>1753.3879999999999</v>
      </c>
      <c r="P10" s="63">
        <f t="shared" si="4"/>
        <v>0</v>
      </c>
      <c r="Q10" s="63">
        <f>SUM(Q11:Q16)</f>
        <v>7079.9132879999997</v>
      </c>
      <c r="R10" s="63">
        <f t="shared" ref="R10:W10" si="5">SUM(R11:R16)</f>
        <v>3230.4456000000009</v>
      </c>
      <c r="S10" s="63">
        <f t="shared" si="5"/>
        <v>1716.9141000000009</v>
      </c>
      <c r="T10" s="63">
        <f t="shared" si="5"/>
        <v>1513.5315000000001</v>
      </c>
      <c r="U10" s="63">
        <f t="shared" si="5"/>
        <v>3849.4676879999984</v>
      </c>
      <c r="V10" s="63">
        <f t="shared" si="5"/>
        <v>3400.9991879999984</v>
      </c>
      <c r="W10" s="63">
        <f t="shared" si="5"/>
        <v>448.46849999999995</v>
      </c>
      <c r="X10" s="63">
        <f t="shared" ref="X10:X50" si="6">Q10/C10*100</f>
        <v>67.61807574893254</v>
      </c>
      <c r="Y10" s="63">
        <f t="shared" ref="Y10:Y49" si="7">(V10+S10)/(H10+E10)*100</f>
        <v>100</v>
      </c>
      <c r="Z10" s="63">
        <f t="shared" ref="Z10:Z50" si="8">(W10+T10)/(F10+I10)*100</f>
        <v>36.655552610946799</v>
      </c>
      <c r="AA10" s="63">
        <f>SUM(AA11:AA16)</f>
        <v>3390.5315000000001</v>
      </c>
      <c r="AB10" s="63">
        <f t="shared" si="3"/>
        <v>0</v>
      </c>
      <c r="AC10" s="63">
        <f>SUM(AC11:AC16)</f>
        <v>0</v>
      </c>
      <c r="AD10" s="63">
        <f>SUM(AD11:AD16)</f>
        <v>0</v>
      </c>
      <c r="AE10" s="63">
        <f>SUM(AE11:AE16)</f>
        <v>3390.5315000000001</v>
      </c>
      <c r="AF10" s="63"/>
      <c r="AG10" s="64"/>
      <c r="AI10" s="59"/>
    </row>
    <row r="11" spans="1:48" s="70" customFormat="1" ht="24" customHeight="1" x14ac:dyDescent="0.25">
      <c r="A11" s="65" t="s">
        <v>104</v>
      </c>
      <c r="B11" s="66" t="s">
        <v>105</v>
      </c>
      <c r="C11" s="67">
        <f>D11+G11</f>
        <v>198.49</v>
      </c>
      <c r="D11" s="67">
        <f>E11+F11</f>
        <v>0</v>
      </c>
      <c r="E11" s="67"/>
      <c r="F11" s="67"/>
      <c r="G11" s="67">
        <f>H11+I11</f>
        <v>198.49</v>
      </c>
      <c r="H11" s="67">
        <f>'[4]PL III.1 đầu tư '!$S$52</f>
        <v>198.49</v>
      </c>
      <c r="I11" s="67"/>
      <c r="J11" s="67">
        <f>K11+N11</f>
        <v>0</v>
      </c>
      <c r="K11" s="67">
        <f>L11+M11</f>
        <v>0</v>
      </c>
      <c r="L11" s="67"/>
      <c r="M11" s="67"/>
      <c r="N11" s="67">
        <f>O11+P11</f>
        <v>0</v>
      </c>
      <c r="O11" s="67"/>
      <c r="P11" s="67"/>
      <c r="Q11" s="67">
        <f>R11+U11</f>
        <v>198.49</v>
      </c>
      <c r="R11" s="67">
        <f>S11+T11</f>
        <v>0</v>
      </c>
      <c r="S11" s="67"/>
      <c r="T11" s="67"/>
      <c r="U11" s="67">
        <f>V11+W11</f>
        <v>198.49</v>
      </c>
      <c r="V11" s="67">
        <f>'[4]PL III.1 đầu tư '!$S$52</f>
        <v>198.49</v>
      </c>
      <c r="W11" s="67"/>
      <c r="X11" s="68">
        <f t="shared" si="6"/>
        <v>100</v>
      </c>
      <c r="Y11" s="68">
        <f t="shared" si="7"/>
        <v>100</v>
      </c>
      <c r="Z11" s="68"/>
      <c r="AA11" s="67">
        <f>SUM(AB11:AE11)</f>
        <v>0</v>
      </c>
      <c r="AB11" s="67">
        <f>AC11+AD11</f>
        <v>0</v>
      </c>
      <c r="AC11" s="67"/>
      <c r="AD11" s="67"/>
      <c r="AE11" s="67"/>
      <c r="AF11" s="67"/>
      <c r="AG11" s="69"/>
    </row>
    <row r="12" spans="1:48" s="70" customFormat="1" ht="24" customHeight="1" x14ac:dyDescent="0.25">
      <c r="A12" s="65" t="s">
        <v>104</v>
      </c>
      <c r="B12" s="66" t="s">
        <v>106</v>
      </c>
      <c r="C12" s="67">
        <f t="shared" ref="C12:C16" si="9">D12+G12</f>
        <v>1270.307788000001</v>
      </c>
      <c r="D12" s="67">
        <f t="shared" ref="D12:D16" si="10">E12+F12</f>
        <v>476.74300000000085</v>
      </c>
      <c r="E12" s="67">
        <v>476.74300000000085</v>
      </c>
      <c r="F12" s="67"/>
      <c r="G12" s="67">
        <f t="shared" ref="G12:G16" si="11">H12+I12</f>
        <v>793.56478800000002</v>
      </c>
      <c r="H12" s="67">
        <f>'[4]PL III.1 đầu tư '!$S$45</f>
        <v>793.56478800000002</v>
      </c>
      <c r="I12" s="67"/>
      <c r="J12" s="67">
        <f t="shared" ref="J12:J16" si="12">K12+N12</f>
        <v>464.60300000000007</v>
      </c>
      <c r="K12" s="67">
        <f t="shared" ref="K12:K16" si="13">L12+M12</f>
        <v>436.82000000000005</v>
      </c>
      <c r="L12" s="67">
        <f>'[2]ĐT (chi tiết)'!$K$108+'[2]ĐT (chi tiết)'!$L$100</f>
        <v>436.82000000000005</v>
      </c>
      <c r="M12" s="67"/>
      <c r="N12" s="67">
        <f t="shared" ref="N12:N16" si="14">O12+P12</f>
        <v>27.783000000000001</v>
      </c>
      <c r="O12" s="67">
        <f>'[2]ĐT (chi tiết)'!$N$105</f>
        <v>27.783000000000001</v>
      </c>
      <c r="P12" s="67"/>
      <c r="Q12" s="67">
        <f t="shared" ref="Q12:Q16" si="15">R12+U12</f>
        <v>1270.307788000001</v>
      </c>
      <c r="R12" s="67">
        <f t="shared" ref="R12:R16" si="16">S12+T12</f>
        <v>476.74300000000085</v>
      </c>
      <c r="S12" s="67">
        <v>476.74300000000085</v>
      </c>
      <c r="T12" s="67"/>
      <c r="U12" s="67">
        <f t="shared" ref="U12:U16" si="17">V12+W12</f>
        <v>793.56478800000002</v>
      </c>
      <c r="V12" s="67">
        <f>'[4]PL III.1 đầu tư '!$S$45</f>
        <v>793.56478800000002</v>
      </c>
      <c r="W12" s="67"/>
      <c r="X12" s="68">
        <f t="shared" si="6"/>
        <v>100</v>
      </c>
      <c r="Y12" s="68">
        <f t="shared" si="7"/>
        <v>100</v>
      </c>
      <c r="Z12" s="68"/>
      <c r="AA12" s="67">
        <f t="shared" ref="AA12:AA16" si="18">SUM(AB12:AE12)</f>
        <v>0</v>
      </c>
      <c r="AB12" s="67">
        <f t="shared" ref="AB12:AB16" si="19">AC12+AD12</f>
        <v>0</v>
      </c>
      <c r="AC12" s="67"/>
      <c r="AD12" s="67"/>
      <c r="AE12" s="67"/>
      <c r="AF12" s="67"/>
      <c r="AG12" s="69"/>
    </row>
    <row r="13" spans="1:48" s="70" customFormat="1" ht="24" customHeight="1" x14ac:dyDescent="0.25">
      <c r="A13" s="65" t="s">
        <v>104</v>
      </c>
      <c r="B13" s="66" t="s">
        <v>107</v>
      </c>
      <c r="C13" s="67">
        <f t="shared" si="9"/>
        <v>0</v>
      </c>
      <c r="D13" s="67">
        <f t="shared" si="10"/>
        <v>0</v>
      </c>
      <c r="E13" s="67"/>
      <c r="F13" s="67"/>
      <c r="G13" s="67">
        <f t="shared" si="11"/>
        <v>0</v>
      </c>
      <c r="H13" s="67"/>
      <c r="I13" s="67"/>
      <c r="J13" s="67">
        <f t="shared" si="12"/>
        <v>0</v>
      </c>
      <c r="K13" s="67">
        <f t="shared" si="13"/>
        <v>0</v>
      </c>
      <c r="L13" s="67"/>
      <c r="M13" s="67"/>
      <c r="N13" s="67">
        <f t="shared" si="14"/>
        <v>0</v>
      </c>
      <c r="O13" s="67"/>
      <c r="P13" s="67"/>
      <c r="Q13" s="67">
        <f t="shared" si="15"/>
        <v>0</v>
      </c>
      <c r="R13" s="67">
        <f t="shared" si="16"/>
        <v>0</v>
      </c>
      <c r="S13" s="67"/>
      <c r="T13" s="67"/>
      <c r="U13" s="67">
        <f t="shared" si="17"/>
        <v>0</v>
      </c>
      <c r="V13" s="67"/>
      <c r="W13" s="67"/>
      <c r="X13" s="68"/>
      <c r="Y13" s="68"/>
      <c r="Z13" s="68"/>
      <c r="AA13" s="67">
        <f t="shared" si="18"/>
        <v>0</v>
      </c>
      <c r="AB13" s="67">
        <f t="shared" si="19"/>
        <v>0</v>
      </c>
      <c r="AC13" s="67"/>
      <c r="AD13" s="67"/>
      <c r="AE13" s="67"/>
      <c r="AF13" s="67"/>
      <c r="AG13" s="69"/>
    </row>
    <row r="14" spans="1:48" s="70" customFormat="1" ht="51.75" customHeight="1" x14ac:dyDescent="0.25">
      <c r="A14" s="65" t="s">
        <v>104</v>
      </c>
      <c r="B14" s="66" t="s">
        <v>108</v>
      </c>
      <c r="C14" s="71">
        <f t="shared" si="9"/>
        <v>0</v>
      </c>
      <c r="D14" s="71">
        <f t="shared" si="10"/>
        <v>0</v>
      </c>
      <c r="E14" s="71"/>
      <c r="F14" s="71">
        <f>1430.045-1430.045</f>
        <v>0</v>
      </c>
      <c r="G14" s="71">
        <f t="shared" si="11"/>
        <v>0</v>
      </c>
      <c r="H14" s="71"/>
      <c r="I14" s="71"/>
      <c r="J14" s="71">
        <f t="shared" si="12"/>
        <v>0</v>
      </c>
      <c r="K14" s="71">
        <f t="shared" si="13"/>
        <v>0</v>
      </c>
      <c r="L14" s="71"/>
      <c r="M14" s="71"/>
      <c r="N14" s="71">
        <f t="shared" si="14"/>
        <v>0</v>
      </c>
      <c r="O14" s="71"/>
      <c r="P14" s="71"/>
      <c r="Q14" s="71">
        <f t="shared" si="15"/>
        <v>0</v>
      </c>
      <c r="R14" s="71">
        <f t="shared" si="16"/>
        <v>0</v>
      </c>
      <c r="S14" s="71"/>
      <c r="T14" s="71"/>
      <c r="U14" s="71">
        <f t="shared" si="17"/>
        <v>0</v>
      </c>
      <c r="V14" s="71"/>
      <c r="W14" s="71"/>
      <c r="X14" s="71"/>
      <c r="Y14" s="71"/>
      <c r="Z14" s="71"/>
      <c r="AA14" s="71">
        <f>SUM(AB14:AE14)</f>
        <v>0</v>
      </c>
      <c r="AB14" s="71">
        <f t="shared" si="19"/>
        <v>0</v>
      </c>
      <c r="AC14" s="71"/>
      <c r="AD14" s="71"/>
      <c r="AE14" s="71"/>
      <c r="AF14" s="72" t="s">
        <v>109</v>
      </c>
      <c r="AG14" s="69"/>
    </row>
    <row r="15" spans="1:48" s="70" customFormat="1" ht="24" customHeight="1" x14ac:dyDescent="0.25">
      <c r="A15" s="73" t="s">
        <v>104</v>
      </c>
      <c r="B15" s="74" t="s">
        <v>110</v>
      </c>
      <c r="C15" s="67">
        <f t="shared" si="9"/>
        <v>3649.1154999999985</v>
      </c>
      <c r="D15" s="67">
        <f t="shared" si="10"/>
        <v>1240.1711</v>
      </c>
      <c r="E15" s="71">
        <f>1040.1711+200</f>
        <v>1240.1711</v>
      </c>
      <c r="F15" s="67"/>
      <c r="G15" s="67">
        <f t="shared" si="11"/>
        <v>2408.9443999999985</v>
      </c>
      <c r="H15" s="67">
        <f>'[4]PL III.1 đầu tư '!$S$55</f>
        <v>2408.9443999999985</v>
      </c>
      <c r="I15" s="67"/>
      <c r="J15" s="67">
        <f t="shared" si="12"/>
        <v>2350.7215999999999</v>
      </c>
      <c r="K15" s="67">
        <f t="shared" si="13"/>
        <v>625.11659999999995</v>
      </c>
      <c r="L15" s="67">
        <f>'[2]ĐT (chi tiết)'!$K$109</f>
        <v>625.11659999999995</v>
      </c>
      <c r="M15" s="67"/>
      <c r="N15" s="67">
        <f t="shared" si="14"/>
        <v>1725.605</v>
      </c>
      <c r="O15" s="67">
        <f>'[2]ĐT (chi tiết)'!$N$109</f>
        <v>1725.605</v>
      </c>
      <c r="P15" s="67"/>
      <c r="Q15" s="67">
        <f t="shared" si="15"/>
        <v>3649.1154999999985</v>
      </c>
      <c r="R15" s="67">
        <f t="shared" si="16"/>
        <v>1240.1711</v>
      </c>
      <c r="S15" s="71">
        <f>1040.1711+200</f>
        <v>1240.1711</v>
      </c>
      <c r="T15" s="67"/>
      <c r="U15" s="67">
        <f t="shared" si="17"/>
        <v>2408.9443999999985</v>
      </c>
      <c r="V15" s="67">
        <f>'[4]PL III.1 đầu tư '!$S$55</f>
        <v>2408.9443999999985</v>
      </c>
      <c r="W15" s="67"/>
      <c r="X15" s="68">
        <f t="shared" si="6"/>
        <v>100</v>
      </c>
      <c r="Y15" s="68">
        <f t="shared" si="7"/>
        <v>100</v>
      </c>
      <c r="Z15" s="68"/>
      <c r="AA15" s="67">
        <f t="shared" si="18"/>
        <v>0</v>
      </c>
      <c r="AB15" s="67">
        <f t="shared" si="19"/>
        <v>0</v>
      </c>
      <c r="AC15" s="67"/>
      <c r="AD15" s="67"/>
      <c r="AE15" s="67"/>
      <c r="AF15" s="67"/>
      <c r="AG15" s="69"/>
    </row>
    <row r="16" spans="1:48" s="70" customFormat="1" ht="36" customHeight="1" x14ac:dyDescent="0.25">
      <c r="A16" s="73" t="s">
        <v>104</v>
      </c>
      <c r="B16" s="74" t="s">
        <v>111</v>
      </c>
      <c r="C16" s="71">
        <f t="shared" si="9"/>
        <v>5352.5315000000001</v>
      </c>
      <c r="D16" s="71">
        <f t="shared" si="10"/>
        <v>1513.5315000000001</v>
      </c>
      <c r="E16" s="71"/>
      <c r="F16" s="71">
        <f>83.4865+1430.045</f>
        <v>1513.5315000000001</v>
      </c>
      <c r="G16" s="71">
        <f t="shared" si="11"/>
        <v>3839</v>
      </c>
      <c r="H16" s="71"/>
      <c r="I16" s="71">
        <f>'[4]PL III.4 SNDTTSMN'!$D$13</f>
        <v>3839</v>
      </c>
      <c r="J16" s="71">
        <f t="shared" si="12"/>
        <v>0</v>
      </c>
      <c r="K16" s="71">
        <f t="shared" si="13"/>
        <v>0</v>
      </c>
      <c r="L16" s="71"/>
      <c r="M16" s="71"/>
      <c r="N16" s="71">
        <f t="shared" si="14"/>
        <v>0</v>
      </c>
      <c r="O16" s="71"/>
      <c r="P16" s="71"/>
      <c r="Q16" s="71">
        <f t="shared" si="15"/>
        <v>1962</v>
      </c>
      <c r="R16" s="71">
        <f t="shared" si="16"/>
        <v>1513.5315000000001</v>
      </c>
      <c r="S16" s="71"/>
      <c r="T16" s="71">
        <f>83.4865+1430.045</f>
        <v>1513.5315000000001</v>
      </c>
      <c r="U16" s="71">
        <f t="shared" si="17"/>
        <v>448.46849999999995</v>
      </c>
      <c r="V16" s="71"/>
      <c r="W16" s="71">
        <f>'[4]PL III.4 SNDTTSMN'!$D$13-AE16</f>
        <v>448.46849999999995</v>
      </c>
      <c r="X16" s="71">
        <f t="shared" si="6"/>
        <v>36.655552610946799</v>
      </c>
      <c r="Y16" s="71"/>
      <c r="Z16" s="71">
        <f t="shared" si="8"/>
        <v>36.655552610946799</v>
      </c>
      <c r="AA16" s="71">
        <f t="shared" si="18"/>
        <v>3390.5315000000001</v>
      </c>
      <c r="AB16" s="71">
        <f t="shared" si="19"/>
        <v>0</v>
      </c>
      <c r="AC16" s="71"/>
      <c r="AD16" s="71"/>
      <c r="AE16" s="71">
        <v>3390.5315000000001</v>
      </c>
      <c r="AF16" s="72" t="s">
        <v>112</v>
      </c>
      <c r="AG16" s="69"/>
    </row>
    <row r="17" spans="1:48" s="58" customFormat="1" ht="51.75" customHeight="1" x14ac:dyDescent="0.25">
      <c r="A17" s="75">
        <v>2</v>
      </c>
      <c r="B17" s="76" t="s">
        <v>71</v>
      </c>
      <c r="C17" s="77">
        <f>D17+G17</f>
        <v>40108.216106000007</v>
      </c>
      <c r="D17" s="77">
        <f>E17+F17</f>
        <v>24803.216106000003</v>
      </c>
      <c r="E17" s="63">
        <f>'[1]PLI.3 KQ 2024'!$H$13+4411+1200</f>
        <v>24803.216106000003</v>
      </c>
      <c r="F17" s="63"/>
      <c r="G17" s="77">
        <f>H17+I17</f>
        <v>15305</v>
      </c>
      <c r="H17" s="63">
        <f>'[1]PLI.3 KQ 2024'!$K$13</f>
        <v>15274</v>
      </c>
      <c r="I17" s="63">
        <f>'[1]PLI.3 KQ 2024'!$L$13</f>
        <v>31</v>
      </c>
      <c r="J17" s="77">
        <f>K17+N17</f>
        <v>16884.806664</v>
      </c>
      <c r="K17" s="77">
        <f>L17+M17</f>
        <v>11970.459993</v>
      </c>
      <c r="L17" s="63">
        <f>'[2]ĐT (chi tiết)'!$K$114</f>
        <v>11970.459993</v>
      </c>
      <c r="M17" s="63"/>
      <c r="N17" s="77">
        <f>O17+P17</f>
        <v>4914.3466709999993</v>
      </c>
      <c r="O17" s="63">
        <f>'[2]ĐT (chi tiết)'!$N$114</f>
        <v>4914.3466709999993</v>
      </c>
      <c r="P17" s="63"/>
      <c r="Q17" s="77">
        <f>R17+U17</f>
        <v>40108.216106000007</v>
      </c>
      <c r="R17" s="77">
        <f>S17+T17</f>
        <v>24803.216106000003</v>
      </c>
      <c r="S17" s="63">
        <f>'[1]PLI.3 KQ 2024'!$H$13+4411+1200</f>
        <v>24803.216106000003</v>
      </c>
      <c r="T17" s="63"/>
      <c r="U17" s="77">
        <f>V17+W17</f>
        <v>15305</v>
      </c>
      <c r="V17" s="63">
        <f>'[1]PLI.3 KQ 2024'!$K$13</f>
        <v>15274</v>
      </c>
      <c r="W17" s="63">
        <f>'[1]PLI.3 KQ 2024'!$L$13</f>
        <v>31</v>
      </c>
      <c r="X17" s="63">
        <f t="shared" si="6"/>
        <v>100</v>
      </c>
      <c r="Y17" s="63">
        <f t="shared" si="7"/>
        <v>100</v>
      </c>
      <c r="Z17" s="63">
        <f t="shared" si="8"/>
        <v>100</v>
      </c>
      <c r="AA17" s="77">
        <f>AB17+AE17</f>
        <v>0</v>
      </c>
      <c r="AB17" s="77">
        <f>AC17+AD17</f>
        <v>0</v>
      </c>
      <c r="AC17" s="63"/>
      <c r="AD17" s="63"/>
      <c r="AE17" s="77">
        <f>AF17+AG17</f>
        <v>0</v>
      </c>
      <c r="AF17" s="63"/>
      <c r="AG17" s="64"/>
    </row>
    <row r="18" spans="1:48" s="58" customFormat="1" ht="75" customHeight="1" x14ac:dyDescent="0.25">
      <c r="A18" s="78">
        <v>3</v>
      </c>
      <c r="B18" s="79" t="s">
        <v>72</v>
      </c>
      <c r="C18" s="63">
        <f>C19+C20</f>
        <v>43221.673144</v>
      </c>
      <c r="D18" s="63">
        <f t="shared" ref="D18:AE18" si="20">D19+D20</f>
        <v>16743.673144</v>
      </c>
      <c r="E18" s="63">
        <f t="shared" si="20"/>
        <v>0</v>
      </c>
      <c r="F18" s="63">
        <f t="shared" si="20"/>
        <v>16743.673144</v>
      </c>
      <c r="G18" s="63">
        <f t="shared" si="20"/>
        <v>26478</v>
      </c>
      <c r="H18" s="63">
        <f t="shared" si="20"/>
        <v>0</v>
      </c>
      <c r="I18" s="63">
        <f t="shared" si="20"/>
        <v>26478</v>
      </c>
      <c r="J18" s="63">
        <f>J19+J20</f>
        <v>5909.7361219999993</v>
      </c>
      <c r="K18" s="63">
        <f t="shared" ref="K18:P18" si="21">K19+K20</f>
        <v>43.87</v>
      </c>
      <c r="L18" s="63">
        <f t="shared" si="21"/>
        <v>0</v>
      </c>
      <c r="M18" s="63">
        <f t="shared" si="21"/>
        <v>43.87</v>
      </c>
      <c r="N18" s="63">
        <f t="shared" si="21"/>
        <v>5865.8661219999995</v>
      </c>
      <c r="O18" s="63">
        <f t="shared" si="21"/>
        <v>0</v>
      </c>
      <c r="P18" s="63">
        <f t="shared" si="21"/>
        <v>5865.8661219999995</v>
      </c>
      <c r="Q18" s="63">
        <f>Q19+Q20</f>
        <v>16265.743252</v>
      </c>
      <c r="R18" s="63">
        <f t="shared" ref="R18:W18" si="22">R19+R20</f>
        <v>2036.2482519999999</v>
      </c>
      <c r="S18" s="63">
        <f t="shared" si="22"/>
        <v>0</v>
      </c>
      <c r="T18" s="63">
        <f t="shared" si="22"/>
        <v>2036.2482519999999</v>
      </c>
      <c r="U18" s="63">
        <f t="shared" si="22"/>
        <v>14229.494999999999</v>
      </c>
      <c r="V18" s="63">
        <f t="shared" si="22"/>
        <v>0</v>
      </c>
      <c r="W18" s="63">
        <f t="shared" si="22"/>
        <v>14229.494999999999</v>
      </c>
      <c r="X18" s="63">
        <f t="shared" si="6"/>
        <v>37.633303083404577</v>
      </c>
      <c r="Y18" s="63"/>
      <c r="Z18" s="63">
        <f t="shared" si="8"/>
        <v>37.63330308340457</v>
      </c>
      <c r="AA18" s="63">
        <f>AA19+AA20</f>
        <v>26955.929892</v>
      </c>
      <c r="AB18" s="63">
        <f t="shared" si="20"/>
        <v>0</v>
      </c>
      <c r="AC18" s="63">
        <f t="shared" si="20"/>
        <v>14707.424891999999</v>
      </c>
      <c r="AD18" s="63">
        <f t="shared" si="20"/>
        <v>0</v>
      </c>
      <c r="AE18" s="63">
        <f t="shared" si="20"/>
        <v>12248.505000000001</v>
      </c>
      <c r="AF18" s="63"/>
      <c r="AG18" s="64"/>
    </row>
    <row r="19" spans="1:48" s="86" customFormat="1" ht="68.25" customHeight="1" x14ac:dyDescent="0.25">
      <c r="A19" s="80" t="s">
        <v>113</v>
      </c>
      <c r="B19" s="81" t="s">
        <v>114</v>
      </c>
      <c r="C19" s="82">
        <f>D19+G19</f>
        <v>16674.473846000001</v>
      </c>
      <c r="D19" s="82">
        <f>E19+F19</f>
        <v>7606.4738459999999</v>
      </c>
      <c r="E19" s="82"/>
      <c r="F19" s="82">
        <f>'[1]PLI.3 KQ 2024'!$I$15</f>
        <v>7606.4738459999999</v>
      </c>
      <c r="G19" s="82">
        <f>H19+I19</f>
        <v>9068</v>
      </c>
      <c r="H19" s="82"/>
      <c r="I19" s="82">
        <f>'[1]PLI.3 KQ 2024'!$L$15</f>
        <v>9068</v>
      </c>
      <c r="J19" s="82">
        <f>K19+N19</f>
        <v>637.91212199999995</v>
      </c>
      <c r="K19" s="82">
        <f>L19+M19</f>
        <v>5.79</v>
      </c>
      <c r="L19" s="82"/>
      <c r="M19" s="82">
        <f>[3]VSN!$J$177</f>
        <v>5.79</v>
      </c>
      <c r="N19" s="82">
        <f>O19+P19</f>
        <v>632.12212199999999</v>
      </c>
      <c r="O19" s="82"/>
      <c r="P19" s="82">
        <f>[3]VSN!$K$177</f>
        <v>632.12212199999999</v>
      </c>
      <c r="Q19" s="82">
        <f>R19+U19</f>
        <v>3140.5639540000002</v>
      </c>
      <c r="R19" s="82">
        <f>S19+T19</f>
        <v>405.0689540000003</v>
      </c>
      <c r="S19" s="82"/>
      <c r="T19" s="82">
        <f>'[1]PLI.3 KQ 2024'!$I$15-AC19</f>
        <v>405.0689540000003</v>
      </c>
      <c r="U19" s="82">
        <f>V19+W19</f>
        <v>2735.4949999999999</v>
      </c>
      <c r="V19" s="82"/>
      <c r="W19" s="82">
        <f>'[1]PLI.3 KQ 2024'!$L$15-AE19</f>
        <v>2735.4949999999999</v>
      </c>
      <c r="X19" s="82">
        <f t="shared" si="6"/>
        <v>18.834561036259519</v>
      </c>
      <c r="Y19" s="82"/>
      <c r="Z19" s="82">
        <f t="shared" si="8"/>
        <v>18.834561036259519</v>
      </c>
      <c r="AA19" s="82">
        <f>SUM(AB19:AE19)</f>
        <v>13533.909892</v>
      </c>
      <c r="AB19" s="82"/>
      <c r="AC19" s="82">
        <f>-('[5]PL01-2022'!$F$10+'[5]PL02-2023'!$F$10)</f>
        <v>7201.4048919999996</v>
      </c>
      <c r="AD19" s="82"/>
      <c r="AE19" s="83">
        <f>-('[5]PL03-2024'!$E$10)</f>
        <v>6332.5050000000001</v>
      </c>
      <c r="AF19" s="84" t="s">
        <v>115</v>
      </c>
      <c r="AG19" s="85"/>
    </row>
    <row r="20" spans="1:48" ht="94.5" customHeight="1" x14ac:dyDescent="0.25">
      <c r="A20" s="87" t="s">
        <v>116</v>
      </c>
      <c r="B20" s="88" t="s">
        <v>117</v>
      </c>
      <c r="C20" s="89">
        <f>C21+C23+C22</f>
        <v>26547.199298</v>
      </c>
      <c r="D20" s="89">
        <f>D21+D23+D22</f>
        <v>9137.1992979999995</v>
      </c>
      <c r="E20" s="89">
        <f>E21+E23+E22</f>
        <v>0</v>
      </c>
      <c r="F20" s="89">
        <f t="shared" ref="F20:I20" si="23">F21+F23+F22</f>
        <v>9137.1992979999995</v>
      </c>
      <c r="G20" s="89">
        <f t="shared" si="23"/>
        <v>17410</v>
      </c>
      <c r="H20" s="89">
        <f t="shared" si="23"/>
        <v>0</v>
      </c>
      <c r="I20" s="89">
        <f t="shared" si="23"/>
        <v>17410</v>
      </c>
      <c r="J20" s="89">
        <f>J21+J23+J22</f>
        <v>5271.8239999999996</v>
      </c>
      <c r="K20" s="89">
        <f t="shared" ref="K20" si="24">K21+K23+K22</f>
        <v>38.08</v>
      </c>
      <c r="L20" s="89"/>
      <c r="M20" s="89">
        <f>M21+M23+M22</f>
        <v>38.08</v>
      </c>
      <c r="N20" s="89">
        <f t="shared" ref="N20" si="25">N21+N23+N22</f>
        <v>5233.7439999999997</v>
      </c>
      <c r="O20" s="89"/>
      <c r="P20" s="89">
        <f t="shared" ref="P20" si="26">P21+P23+P22</f>
        <v>5233.7439999999997</v>
      </c>
      <c r="Q20" s="89">
        <f>Q21+Q23+Q22</f>
        <v>13125.179297999999</v>
      </c>
      <c r="R20" s="89">
        <f t="shared" ref="R20" si="27">R21+R23+R22</f>
        <v>1631.1792979999996</v>
      </c>
      <c r="S20" s="89">
        <f>S21+S23+S22</f>
        <v>0</v>
      </c>
      <c r="T20" s="89">
        <f t="shared" ref="T20:W20" si="28">T21+T23+T22</f>
        <v>1631.1792979999996</v>
      </c>
      <c r="U20" s="89">
        <f t="shared" si="28"/>
        <v>11494</v>
      </c>
      <c r="V20" s="89">
        <f t="shared" si="28"/>
        <v>0</v>
      </c>
      <c r="W20" s="89">
        <f t="shared" si="28"/>
        <v>11494</v>
      </c>
      <c r="X20" s="89">
        <f t="shared" si="6"/>
        <v>49.440918986089869</v>
      </c>
      <c r="Y20" s="89"/>
      <c r="Z20" s="89">
        <f t="shared" si="8"/>
        <v>49.440918986089869</v>
      </c>
      <c r="AA20" s="89">
        <f>SUM(AB20:AE20)</f>
        <v>13422.02</v>
      </c>
      <c r="AB20" s="71">
        <f>SUM(AB21:AB23)</f>
        <v>0</v>
      </c>
      <c r="AC20" s="90">
        <f>SUM(AC21:AC23)</f>
        <v>7506.02</v>
      </c>
      <c r="AD20" s="89">
        <f t="shared" ref="AD20" si="29">SUM(AD21:AD23)</f>
        <v>0</v>
      </c>
      <c r="AE20" s="89">
        <f>SUM(AE21:AE23)</f>
        <v>5916</v>
      </c>
      <c r="AF20" s="89"/>
      <c r="AG20" s="91"/>
      <c r="AI20" s="92"/>
    </row>
    <row r="21" spans="1:48" s="70" customFormat="1" ht="33.75" customHeight="1" x14ac:dyDescent="0.25">
      <c r="A21" s="73" t="s">
        <v>104</v>
      </c>
      <c r="B21" s="93" t="s">
        <v>118</v>
      </c>
      <c r="C21" s="71">
        <f>D21+G21</f>
        <v>13229.199298</v>
      </c>
      <c r="D21" s="71">
        <f>E21+F21</f>
        <v>1735.1992979999995</v>
      </c>
      <c r="E21" s="71"/>
      <c r="F21" s="71">
        <f>'[1]PLI.3 KQ 2024'!$I$16-F22</f>
        <v>1735.1992979999995</v>
      </c>
      <c r="G21" s="94">
        <f>H21+I21</f>
        <v>11494</v>
      </c>
      <c r="H21" s="71"/>
      <c r="I21" s="94">
        <f>'[1]PLI.3 KQ 2024'!$L$16-I22</f>
        <v>11494</v>
      </c>
      <c r="J21" s="71">
        <f>K21+N21</f>
        <v>5271.8239999999996</v>
      </c>
      <c r="K21" s="71">
        <f>L21+M21</f>
        <v>38.08</v>
      </c>
      <c r="L21" s="71"/>
      <c r="M21" s="71">
        <f>[3]VSN!$J$189</f>
        <v>38.08</v>
      </c>
      <c r="N21" s="71">
        <f>O21+P21</f>
        <v>5233.7439999999997</v>
      </c>
      <c r="O21" s="71"/>
      <c r="P21" s="71">
        <f>[3]VSN!$K$189</f>
        <v>5233.7439999999997</v>
      </c>
      <c r="Q21" s="71">
        <f>R21+U21</f>
        <v>13125.179297999999</v>
      </c>
      <c r="R21" s="71">
        <f>S21+T21</f>
        <v>1631.1792979999996</v>
      </c>
      <c r="S21" s="71"/>
      <c r="T21" s="71">
        <f>F21-AC21</f>
        <v>1631.1792979999996</v>
      </c>
      <c r="U21" s="71">
        <f>V21+W21</f>
        <v>11494</v>
      </c>
      <c r="V21" s="71"/>
      <c r="W21" s="94">
        <v>11494</v>
      </c>
      <c r="X21" s="71">
        <f t="shared" si="6"/>
        <v>99.213709026095586</v>
      </c>
      <c r="Y21" s="71"/>
      <c r="Z21" s="71">
        <f t="shared" si="8"/>
        <v>99.213709026095586</v>
      </c>
      <c r="AA21" s="71">
        <f>SUM(AB21:AE21)</f>
        <v>104.02</v>
      </c>
      <c r="AB21" s="71"/>
      <c r="AC21" s="94">
        <v>104.02</v>
      </c>
      <c r="AD21" s="71"/>
      <c r="AE21" s="71"/>
      <c r="AF21" s="95" t="s">
        <v>119</v>
      </c>
      <c r="AG21" s="69"/>
    </row>
    <row r="22" spans="1:48" s="70" customFormat="1" ht="57" customHeight="1" x14ac:dyDescent="0.25">
      <c r="A22" s="73" t="s">
        <v>104</v>
      </c>
      <c r="B22" s="93" t="s">
        <v>120</v>
      </c>
      <c r="C22" s="94">
        <f>D22+G22</f>
        <v>13318</v>
      </c>
      <c r="D22" s="94">
        <f>E22+F22</f>
        <v>7402</v>
      </c>
      <c r="E22" s="94">
        <f>'[1]PLI.3 KQ 2024'!$H$16-8200-6394-372</f>
        <v>0</v>
      </c>
      <c r="F22" s="94">
        <f>990+3701+2711</f>
        <v>7402</v>
      </c>
      <c r="G22" s="94">
        <f>H22+I22</f>
        <v>5916</v>
      </c>
      <c r="H22" s="71">
        <f>'[1]PLI.3 KQ 2024'!$K$16-9314</f>
        <v>0</v>
      </c>
      <c r="I22" s="96">
        <v>5916</v>
      </c>
      <c r="J22" s="71">
        <f>K22+N22</f>
        <v>0</v>
      </c>
      <c r="K22" s="71">
        <f>L22+M22</f>
        <v>0</v>
      </c>
      <c r="L22" s="71"/>
      <c r="M22" s="71"/>
      <c r="N22" s="71">
        <f>O22+P22</f>
        <v>0</v>
      </c>
      <c r="O22" s="71"/>
      <c r="P22" s="71"/>
      <c r="Q22" s="71">
        <f>R22+U22</f>
        <v>0</v>
      </c>
      <c r="R22" s="71">
        <f>S22+T22</f>
        <v>0</v>
      </c>
      <c r="S22" s="94"/>
      <c r="T22" s="94"/>
      <c r="U22" s="71">
        <f>V22+W22</f>
        <v>0</v>
      </c>
      <c r="V22" s="71">
        <f>'[1]PLI.3 KQ 2024'!$K$16-9314</f>
        <v>0</v>
      </c>
      <c r="W22" s="94"/>
      <c r="X22" s="89">
        <f t="shared" si="6"/>
        <v>0</v>
      </c>
      <c r="Y22" s="89"/>
      <c r="Z22" s="89">
        <f t="shared" si="8"/>
        <v>0</v>
      </c>
      <c r="AA22" s="94">
        <f>SUM(AB22:AE22)</f>
        <v>13318</v>
      </c>
      <c r="AB22" s="71"/>
      <c r="AC22" s="94">
        <f>990+3701+2711</f>
        <v>7402</v>
      </c>
      <c r="AD22" s="71"/>
      <c r="AE22" s="97">
        <v>5916</v>
      </c>
      <c r="AF22" s="72" t="s">
        <v>121</v>
      </c>
      <c r="AG22" s="98"/>
      <c r="AI22" s="99"/>
    </row>
    <row r="23" spans="1:48" s="70" customFormat="1" ht="66.75" customHeight="1" x14ac:dyDescent="0.25">
      <c r="A23" s="73" t="s">
        <v>104</v>
      </c>
      <c r="B23" s="93" t="s">
        <v>122</v>
      </c>
      <c r="C23" s="71">
        <f>D23+G23</f>
        <v>0</v>
      </c>
      <c r="D23" s="71">
        <f>E23+F23</f>
        <v>0</v>
      </c>
      <c r="E23" s="71"/>
      <c r="F23" s="71"/>
      <c r="G23" s="71">
        <f>H23+I23</f>
        <v>0</v>
      </c>
      <c r="H23" s="71"/>
      <c r="I23" s="71"/>
      <c r="J23" s="71">
        <f>K23+N23</f>
        <v>0</v>
      </c>
      <c r="K23" s="71">
        <f>L23+M23</f>
        <v>0</v>
      </c>
      <c r="L23" s="71"/>
      <c r="M23" s="71"/>
      <c r="N23" s="71">
        <f>O23+P23</f>
        <v>0</v>
      </c>
      <c r="O23" s="71"/>
      <c r="P23" s="71"/>
      <c r="Q23" s="71">
        <f>R23+U23</f>
        <v>0</v>
      </c>
      <c r="R23" s="71">
        <f>S23+T23</f>
        <v>0</v>
      </c>
      <c r="S23" s="71"/>
      <c r="T23" s="71"/>
      <c r="U23" s="71">
        <f>V23+W23</f>
        <v>0</v>
      </c>
      <c r="V23" s="71"/>
      <c r="W23" s="71"/>
      <c r="X23" s="89"/>
      <c r="Y23" s="89"/>
      <c r="Z23" s="89"/>
      <c r="AA23" s="71">
        <f t="shared" ref="AA23:AA30" si="30">SUM(AB23:AE23)</f>
        <v>0</v>
      </c>
      <c r="AB23" s="71"/>
      <c r="AC23" s="71"/>
      <c r="AD23" s="71"/>
      <c r="AE23" s="71"/>
      <c r="AF23" s="71"/>
      <c r="AG23" s="69"/>
    </row>
    <row r="24" spans="1:48" s="58" customFormat="1" ht="92.25" customHeight="1" x14ac:dyDescent="0.25">
      <c r="A24" s="78">
        <v>4</v>
      </c>
      <c r="B24" s="79" t="s">
        <v>123</v>
      </c>
      <c r="C24" s="63">
        <f>C25</f>
        <v>59364.03433699999</v>
      </c>
      <c r="D24" s="63">
        <f t="shared" ref="D24:AE24" si="31">D25</f>
        <v>8232.0383369999909</v>
      </c>
      <c r="E24" s="63">
        <f t="shared" si="31"/>
        <v>8230.7050099999906</v>
      </c>
      <c r="F24" s="63">
        <f t="shared" si="31"/>
        <v>1.3333270000002813</v>
      </c>
      <c r="G24" s="63">
        <f t="shared" si="31"/>
        <v>51131.995999999999</v>
      </c>
      <c r="H24" s="63">
        <f t="shared" si="31"/>
        <v>47170.995999999999</v>
      </c>
      <c r="I24" s="63">
        <f t="shared" si="31"/>
        <v>3961</v>
      </c>
      <c r="J24" s="63">
        <f>J25</f>
        <v>29596.591429000007</v>
      </c>
      <c r="K24" s="63">
        <f t="shared" si="31"/>
        <v>2841.4</v>
      </c>
      <c r="L24" s="63">
        <f t="shared" si="31"/>
        <v>2841.4</v>
      </c>
      <c r="M24" s="63">
        <f t="shared" si="31"/>
        <v>0</v>
      </c>
      <c r="N24" s="63">
        <f t="shared" si="31"/>
        <v>26755.191429000006</v>
      </c>
      <c r="O24" s="63">
        <f t="shared" si="31"/>
        <v>25351.191429000006</v>
      </c>
      <c r="P24" s="63">
        <f t="shared" si="31"/>
        <v>1404</v>
      </c>
      <c r="Q24" s="63">
        <f>Q25</f>
        <v>59362.70100999999</v>
      </c>
      <c r="R24" s="63">
        <f t="shared" si="31"/>
        <v>8230.7050099999906</v>
      </c>
      <c r="S24" s="63">
        <f t="shared" si="31"/>
        <v>8058.7050099999906</v>
      </c>
      <c r="T24" s="63">
        <f t="shared" si="31"/>
        <v>1.3333270000002813</v>
      </c>
      <c r="U24" s="63">
        <f t="shared" si="31"/>
        <v>51131.995999999999</v>
      </c>
      <c r="V24" s="63">
        <f t="shared" si="31"/>
        <v>47170.995999999999</v>
      </c>
      <c r="W24" s="63">
        <f t="shared" si="31"/>
        <v>3961</v>
      </c>
      <c r="X24" s="63">
        <f t="shared" si="6"/>
        <v>99.997753981826037</v>
      </c>
      <c r="Y24" s="63">
        <f t="shared" si="7"/>
        <v>99.689540218324794</v>
      </c>
      <c r="Z24" s="63">
        <f t="shared" si="8"/>
        <v>100</v>
      </c>
      <c r="AA24" s="63">
        <f t="shared" si="31"/>
        <v>0</v>
      </c>
      <c r="AB24" s="63">
        <f t="shared" si="31"/>
        <v>0</v>
      </c>
      <c r="AC24" s="63">
        <f t="shared" si="31"/>
        <v>0</v>
      </c>
      <c r="AD24" s="63">
        <f t="shared" si="31"/>
        <v>0</v>
      </c>
      <c r="AE24" s="63">
        <f t="shared" si="31"/>
        <v>0</v>
      </c>
      <c r="AF24" s="63"/>
      <c r="AG24" s="64"/>
    </row>
    <row r="25" spans="1:48" ht="65.25" customHeight="1" x14ac:dyDescent="0.25">
      <c r="A25" s="100" t="s">
        <v>124</v>
      </c>
      <c r="B25" s="88" t="s">
        <v>125</v>
      </c>
      <c r="C25" s="101">
        <f>D25+G25</f>
        <v>59364.03433699999</v>
      </c>
      <c r="D25" s="101">
        <f>E25+F25</f>
        <v>8232.0383369999909</v>
      </c>
      <c r="E25" s="101">
        <f>'[1]PLI.3 KQ 2024'!$H$19+5194+172</f>
        <v>8230.7050099999906</v>
      </c>
      <c r="F25" s="101">
        <f>'[1]PLI.3 KQ 2024'!$I$19</f>
        <v>1.3333270000002813</v>
      </c>
      <c r="G25" s="101">
        <f>H25+I25</f>
        <v>51131.995999999999</v>
      </c>
      <c r="H25" s="101">
        <f>'[1]PLI.3 KQ 2024'!$K$19+2797</f>
        <v>47170.995999999999</v>
      </c>
      <c r="I25" s="101">
        <f>'[1]PLI.3 KQ 2024'!$L$19</f>
        <v>3961</v>
      </c>
      <c r="J25" s="101">
        <f>K25+N25</f>
        <v>29596.591429000007</v>
      </c>
      <c r="K25" s="101">
        <f>L25+M25</f>
        <v>2841.4</v>
      </c>
      <c r="L25" s="101">
        <f>'[2]ĐT (chi tiết)'!$K$121</f>
        <v>2841.4</v>
      </c>
      <c r="M25" s="101">
        <f>[3]VSN!$J$203</f>
        <v>0</v>
      </c>
      <c r="N25" s="101">
        <f>O25+P25</f>
        <v>26755.191429000006</v>
      </c>
      <c r="O25" s="101">
        <f>'[2]ĐT (chi tiết)'!$N$121</f>
        <v>25351.191429000006</v>
      </c>
      <c r="P25" s="101">
        <f>[3]VSN!$K$203</f>
        <v>1404</v>
      </c>
      <c r="Q25" s="101">
        <f>R25+U25</f>
        <v>59362.70100999999</v>
      </c>
      <c r="R25" s="101">
        <v>8230.7050099999906</v>
      </c>
      <c r="S25" s="101">
        <f>'[1]PLI.3 KQ 2024'!$H$19+5194</f>
        <v>8058.7050099999906</v>
      </c>
      <c r="T25" s="101">
        <f>'[1]PLI.3 KQ 2024'!$I$19</f>
        <v>1.3333270000002813</v>
      </c>
      <c r="U25" s="101">
        <f>V25+W25</f>
        <v>51131.995999999999</v>
      </c>
      <c r="V25" s="101">
        <f>'[1]PLI.3 KQ 2024'!$K$19+2797</f>
        <v>47170.995999999999</v>
      </c>
      <c r="W25" s="101">
        <f>'[1]PLI.3 KQ 2024'!$L$19</f>
        <v>3961</v>
      </c>
      <c r="X25" s="102">
        <f t="shared" si="6"/>
        <v>99.997753981826037</v>
      </c>
      <c r="Y25" s="102">
        <f t="shared" si="7"/>
        <v>99.689540218324794</v>
      </c>
      <c r="Z25" s="102">
        <f t="shared" si="8"/>
        <v>100</v>
      </c>
      <c r="AA25" s="67">
        <f t="shared" si="30"/>
        <v>0</v>
      </c>
      <c r="AB25" s="101">
        <f>AC25+AD25</f>
        <v>0</v>
      </c>
      <c r="AC25" s="101"/>
      <c r="AD25" s="101"/>
      <c r="AE25" s="101">
        <f>AF25+AG25</f>
        <v>0</v>
      </c>
      <c r="AF25" s="101"/>
      <c r="AG25" s="91"/>
      <c r="AV25" s="103"/>
    </row>
    <row r="26" spans="1:48" s="58" customFormat="1" ht="42.75" customHeight="1" x14ac:dyDescent="0.25">
      <c r="A26" s="78">
        <v>5</v>
      </c>
      <c r="B26" s="79" t="s">
        <v>73</v>
      </c>
      <c r="C26" s="63">
        <f>C27+C28+C32+C33</f>
        <v>30184.20045</v>
      </c>
      <c r="D26" s="63">
        <f t="shared" ref="D26:AE26" si="32">D27+D28+D32+D33</f>
        <v>9363.2004500000003</v>
      </c>
      <c r="E26" s="63">
        <f t="shared" si="32"/>
        <v>1568.884</v>
      </c>
      <c r="F26" s="63">
        <f t="shared" si="32"/>
        <v>7794.3164500000003</v>
      </c>
      <c r="G26" s="63">
        <f t="shared" si="32"/>
        <v>20821</v>
      </c>
      <c r="H26" s="63">
        <f t="shared" si="32"/>
        <v>19705</v>
      </c>
      <c r="I26" s="63">
        <f t="shared" si="32"/>
        <v>1116</v>
      </c>
      <c r="J26" s="63">
        <f>J27+J28+J32+J33</f>
        <v>15915.028</v>
      </c>
      <c r="K26" s="63">
        <f t="shared" ref="K26:P26" si="33">K27+K28+K32+K33</f>
        <v>1569.1030000000001</v>
      </c>
      <c r="L26" s="63">
        <f t="shared" si="33"/>
        <v>1568.884</v>
      </c>
      <c r="M26" s="63">
        <f t="shared" si="33"/>
        <v>0.219</v>
      </c>
      <c r="N26" s="63">
        <f>N27+N28+N32+N33</f>
        <v>14345.925000000001</v>
      </c>
      <c r="O26" s="63">
        <f t="shared" si="33"/>
        <v>13822.521000000001</v>
      </c>
      <c r="P26" s="63">
        <f t="shared" si="33"/>
        <v>523.404</v>
      </c>
      <c r="Q26" s="63">
        <f>Q27+Q28+Q32+Q33</f>
        <v>24158.30384</v>
      </c>
      <c r="R26" s="63">
        <f t="shared" ref="R26:W26" si="34">R27+R28+R32+R33</f>
        <v>3337.3038400000005</v>
      </c>
      <c r="S26" s="63">
        <f t="shared" si="34"/>
        <v>1568.884</v>
      </c>
      <c r="T26" s="63">
        <f t="shared" si="34"/>
        <v>1768.4198400000007</v>
      </c>
      <c r="U26" s="63">
        <f t="shared" si="34"/>
        <v>20821</v>
      </c>
      <c r="V26" s="63">
        <f t="shared" si="34"/>
        <v>19705</v>
      </c>
      <c r="W26" s="63">
        <f t="shared" si="34"/>
        <v>1116</v>
      </c>
      <c r="X26" s="63">
        <f t="shared" si="6"/>
        <v>80.036255656392584</v>
      </c>
      <c r="Y26" s="63">
        <f t="shared" si="7"/>
        <v>100</v>
      </c>
      <c r="Z26" s="63">
        <f t="shared" si="8"/>
        <v>32.371687988702135</v>
      </c>
      <c r="AA26" s="63">
        <f>AA27+AA28+AA32+AA33</f>
        <v>6025.8966099999998</v>
      </c>
      <c r="AB26" s="63">
        <f t="shared" si="32"/>
        <v>0</v>
      </c>
      <c r="AC26" s="63">
        <f t="shared" si="32"/>
        <v>6025.8966099999998</v>
      </c>
      <c r="AD26" s="63">
        <f t="shared" si="32"/>
        <v>0</v>
      </c>
      <c r="AE26" s="63">
        <f t="shared" si="32"/>
        <v>0</v>
      </c>
      <c r="AF26" s="63"/>
      <c r="AG26" s="64"/>
    </row>
    <row r="27" spans="1:48" ht="128.25" customHeight="1" x14ac:dyDescent="0.25">
      <c r="A27" s="100" t="s">
        <v>126</v>
      </c>
      <c r="B27" s="88" t="s">
        <v>127</v>
      </c>
      <c r="C27" s="101">
        <f>D27+G27</f>
        <v>22311.883999999998</v>
      </c>
      <c r="D27" s="101">
        <f>E27+F27</f>
        <v>2134.884</v>
      </c>
      <c r="E27" s="101">
        <f>'[1]PLI.3 KQ 2024'!$H$22+603</f>
        <v>1568.884</v>
      </c>
      <c r="F27" s="104">
        <f>'[1]PLI.3 KQ 2024'!$I$22</f>
        <v>566</v>
      </c>
      <c r="G27" s="101">
        <f>H27+I27</f>
        <v>20177</v>
      </c>
      <c r="H27" s="101">
        <f>'[1]PLI.3 KQ 2024'!$K$22+4601</f>
        <v>19705</v>
      </c>
      <c r="I27" s="101">
        <f>'[1]PLI.3 KQ 2024'!$L$22</f>
        <v>472</v>
      </c>
      <c r="J27" s="101">
        <f>K27+N27</f>
        <v>15391.405000000001</v>
      </c>
      <c r="K27" s="101">
        <f>L27+M27</f>
        <v>1568.884</v>
      </c>
      <c r="L27" s="101">
        <f>'[2]ĐT (chi tiết)'!$K$179</f>
        <v>1568.884</v>
      </c>
      <c r="M27" s="101"/>
      <c r="N27" s="101">
        <f>O27+P27</f>
        <v>13822.521000000001</v>
      </c>
      <c r="O27" s="101">
        <f>'[2]ĐT (chi tiết)'!$N$179</f>
        <v>13822.521000000001</v>
      </c>
      <c r="P27" s="101"/>
      <c r="Q27" s="101">
        <f>R27+U27</f>
        <v>21934.883999999998</v>
      </c>
      <c r="R27" s="101">
        <f>S27+T27</f>
        <v>1757.884</v>
      </c>
      <c r="S27" s="101">
        <f>'[1]PLI.3 KQ 2024'!$H$22+603</f>
        <v>1568.884</v>
      </c>
      <c r="T27" s="104">
        <f>F27-AC27</f>
        <v>189</v>
      </c>
      <c r="U27" s="101">
        <f>V27+W27</f>
        <v>20177</v>
      </c>
      <c r="V27" s="101">
        <f>'[1]PLI.3 KQ 2024'!$K$22+4601</f>
        <v>19705</v>
      </c>
      <c r="W27" s="101">
        <f>'[1]PLI.3 KQ 2024'!$L$22</f>
        <v>472</v>
      </c>
      <c r="X27" s="102">
        <f t="shared" si="6"/>
        <v>98.310317497168782</v>
      </c>
      <c r="Y27" s="102">
        <f t="shared" si="7"/>
        <v>100</v>
      </c>
      <c r="Z27" s="102">
        <f t="shared" si="8"/>
        <v>63.680154142581891</v>
      </c>
      <c r="AA27" s="101">
        <f t="shared" si="30"/>
        <v>377</v>
      </c>
      <c r="AB27" s="101"/>
      <c r="AC27" s="101">
        <v>377</v>
      </c>
      <c r="AD27" s="101"/>
      <c r="AE27" s="101"/>
      <c r="AF27" s="105" t="s">
        <v>128</v>
      </c>
      <c r="AG27" s="91"/>
    </row>
    <row r="28" spans="1:48" ht="97.5" customHeight="1" x14ac:dyDescent="0.25">
      <c r="A28" s="87" t="s">
        <v>129</v>
      </c>
      <c r="B28" s="88" t="s">
        <v>130</v>
      </c>
      <c r="C28" s="101">
        <f>C29+C30+C31</f>
        <v>187</v>
      </c>
      <c r="D28" s="101">
        <f t="shared" ref="D28:AD28" si="35">D29+D30+D31</f>
        <v>187</v>
      </c>
      <c r="E28" s="101">
        <f t="shared" si="35"/>
        <v>0</v>
      </c>
      <c r="F28" s="101">
        <f t="shared" si="35"/>
        <v>187</v>
      </c>
      <c r="G28" s="101">
        <f t="shared" si="35"/>
        <v>0</v>
      </c>
      <c r="H28" s="101">
        <f t="shared" si="35"/>
        <v>0</v>
      </c>
      <c r="I28" s="101">
        <f t="shared" si="35"/>
        <v>0</v>
      </c>
      <c r="J28" s="101">
        <f>J29+J30+J31</f>
        <v>0</v>
      </c>
      <c r="K28" s="101">
        <f t="shared" ref="K28:P28" si="36">K29+K30+K31</f>
        <v>0</v>
      </c>
      <c r="L28" s="101">
        <f t="shared" si="36"/>
        <v>0</v>
      </c>
      <c r="M28" s="101">
        <f t="shared" si="36"/>
        <v>0</v>
      </c>
      <c r="N28" s="101">
        <f t="shared" si="36"/>
        <v>0</v>
      </c>
      <c r="O28" s="101">
        <f t="shared" si="36"/>
        <v>0</v>
      </c>
      <c r="P28" s="101">
        <f t="shared" si="36"/>
        <v>0</v>
      </c>
      <c r="Q28" s="101">
        <f>Q29+Q30+Q31</f>
        <v>0</v>
      </c>
      <c r="R28" s="101">
        <f t="shared" ref="R28:W28" si="37">R29+R30+R31</f>
        <v>0</v>
      </c>
      <c r="S28" s="101">
        <f t="shared" si="37"/>
        <v>0</v>
      </c>
      <c r="T28" s="101">
        <f t="shared" si="37"/>
        <v>0</v>
      </c>
      <c r="U28" s="101">
        <f t="shared" si="37"/>
        <v>0</v>
      </c>
      <c r="V28" s="101">
        <f t="shared" si="37"/>
        <v>0</v>
      </c>
      <c r="W28" s="101">
        <f t="shared" si="37"/>
        <v>0</v>
      </c>
      <c r="X28" s="102"/>
      <c r="Y28" s="102"/>
      <c r="Z28" s="102">
        <f t="shared" si="8"/>
        <v>0</v>
      </c>
      <c r="AA28" s="101">
        <f>AA29+AA30+AA31</f>
        <v>187</v>
      </c>
      <c r="AB28" s="101">
        <f t="shared" si="35"/>
        <v>0</v>
      </c>
      <c r="AC28" s="101">
        <f>AC29+AC30+AC31</f>
        <v>187</v>
      </c>
      <c r="AD28" s="101">
        <f t="shared" si="35"/>
        <v>0</v>
      </c>
      <c r="AE28" s="101">
        <f>AE29+AE30+AE31</f>
        <v>0</v>
      </c>
      <c r="AF28" s="101"/>
      <c r="AG28" s="91"/>
    </row>
    <row r="29" spans="1:48" s="70" customFormat="1" ht="19.5" customHeight="1" x14ac:dyDescent="0.25">
      <c r="A29" s="65" t="s">
        <v>104</v>
      </c>
      <c r="B29" s="106" t="s">
        <v>131</v>
      </c>
      <c r="C29" s="67">
        <f t="shared" ref="C29:C33" si="38">D29+G29</f>
        <v>0</v>
      </c>
      <c r="D29" s="67">
        <f t="shared" ref="D29:D33" si="39">E29+F29</f>
        <v>0</v>
      </c>
      <c r="E29" s="67"/>
      <c r="F29" s="67"/>
      <c r="G29" s="67">
        <f t="shared" ref="G29:G34" si="40">H29+I29</f>
        <v>0</v>
      </c>
      <c r="H29" s="67"/>
      <c r="I29" s="67"/>
      <c r="J29" s="67">
        <f t="shared" ref="J29:J34" si="41">K29+N29</f>
        <v>0</v>
      </c>
      <c r="K29" s="67">
        <f t="shared" ref="K29:K34" si="42">L29+M29</f>
        <v>0</v>
      </c>
      <c r="L29" s="67"/>
      <c r="M29" s="67"/>
      <c r="N29" s="67">
        <f t="shared" ref="N29:N31" si="43">O29+P29</f>
        <v>0</v>
      </c>
      <c r="O29" s="67"/>
      <c r="P29" s="67"/>
      <c r="Q29" s="67">
        <f t="shared" ref="Q29:Q34" si="44">R29+U29</f>
        <v>0</v>
      </c>
      <c r="R29" s="67">
        <f t="shared" ref="R29:R34" si="45">S29+T29</f>
        <v>0</v>
      </c>
      <c r="S29" s="67"/>
      <c r="T29" s="67"/>
      <c r="U29" s="67">
        <f t="shared" ref="U29:U34" si="46">V29+W29</f>
        <v>0</v>
      </c>
      <c r="V29" s="67"/>
      <c r="W29" s="67"/>
      <c r="X29" s="102"/>
      <c r="Y29" s="102"/>
      <c r="Z29" s="102"/>
      <c r="AA29" s="67">
        <f t="shared" si="30"/>
        <v>0</v>
      </c>
      <c r="AB29" s="67">
        <f t="shared" ref="AB29:AB34" si="47">AC29+AD29</f>
        <v>0</v>
      </c>
      <c r="AC29" s="67"/>
      <c r="AD29" s="67"/>
      <c r="AE29" s="67">
        <f t="shared" ref="AE29:AE34" si="48">AF29+AG29</f>
        <v>0</v>
      </c>
      <c r="AF29" s="67"/>
      <c r="AG29" s="69"/>
    </row>
    <row r="30" spans="1:48" s="70" customFormat="1" ht="20.25" customHeight="1" x14ac:dyDescent="0.25">
      <c r="A30" s="65" t="s">
        <v>104</v>
      </c>
      <c r="B30" s="106" t="s">
        <v>132</v>
      </c>
      <c r="C30" s="67">
        <f t="shared" si="38"/>
        <v>0</v>
      </c>
      <c r="D30" s="67">
        <f t="shared" si="39"/>
        <v>0</v>
      </c>
      <c r="E30" s="67"/>
      <c r="F30" s="67"/>
      <c r="G30" s="67">
        <f t="shared" si="40"/>
        <v>0</v>
      </c>
      <c r="H30" s="67"/>
      <c r="I30" s="67"/>
      <c r="J30" s="67">
        <f t="shared" si="41"/>
        <v>0</v>
      </c>
      <c r="K30" s="67">
        <f t="shared" si="42"/>
        <v>0</v>
      </c>
      <c r="L30" s="67"/>
      <c r="M30" s="67"/>
      <c r="N30" s="67">
        <f t="shared" si="43"/>
        <v>0</v>
      </c>
      <c r="O30" s="67"/>
      <c r="P30" s="67"/>
      <c r="Q30" s="67">
        <f t="shared" si="44"/>
        <v>0</v>
      </c>
      <c r="R30" s="67">
        <f t="shared" si="45"/>
        <v>0</v>
      </c>
      <c r="S30" s="67"/>
      <c r="T30" s="67"/>
      <c r="U30" s="67">
        <f t="shared" si="46"/>
        <v>0</v>
      </c>
      <c r="V30" s="67"/>
      <c r="W30" s="67"/>
      <c r="X30" s="102"/>
      <c r="Y30" s="102"/>
      <c r="Z30" s="102"/>
      <c r="AA30" s="67">
        <f t="shared" si="30"/>
        <v>0</v>
      </c>
      <c r="AB30" s="67">
        <f t="shared" si="47"/>
        <v>0</v>
      </c>
      <c r="AC30" s="67"/>
      <c r="AD30" s="67"/>
      <c r="AE30" s="67">
        <f t="shared" si="48"/>
        <v>0</v>
      </c>
      <c r="AF30" s="67"/>
      <c r="AG30" s="69"/>
    </row>
    <row r="31" spans="1:48" s="70" customFormat="1" ht="89.25" customHeight="1" x14ac:dyDescent="0.25">
      <c r="A31" s="65" t="s">
        <v>104</v>
      </c>
      <c r="B31" s="106" t="s">
        <v>133</v>
      </c>
      <c r="C31" s="67">
        <f t="shared" si="38"/>
        <v>187</v>
      </c>
      <c r="D31" s="67">
        <f t="shared" si="39"/>
        <v>187</v>
      </c>
      <c r="E31" s="67"/>
      <c r="F31" s="67">
        <v>187</v>
      </c>
      <c r="G31" s="67">
        <f t="shared" si="40"/>
        <v>0</v>
      </c>
      <c r="H31" s="67"/>
      <c r="I31" s="67"/>
      <c r="J31" s="67">
        <f t="shared" si="41"/>
        <v>0</v>
      </c>
      <c r="K31" s="67">
        <f t="shared" si="42"/>
        <v>0</v>
      </c>
      <c r="L31" s="67"/>
      <c r="M31" s="67"/>
      <c r="N31" s="67">
        <f t="shared" si="43"/>
        <v>0</v>
      </c>
      <c r="O31" s="67"/>
      <c r="P31" s="67"/>
      <c r="Q31" s="67">
        <f t="shared" si="44"/>
        <v>0</v>
      </c>
      <c r="R31" s="67">
        <f t="shared" si="45"/>
        <v>0</v>
      </c>
      <c r="S31" s="67"/>
      <c r="T31" s="67"/>
      <c r="U31" s="67">
        <f t="shared" si="46"/>
        <v>0</v>
      </c>
      <c r="V31" s="67"/>
      <c r="W31" s="67"/>
      <c r="X31" s="102"/>
      <c r="Y31" s="102"/>
      <c r="Z31" s="102"/>
      <c r="AA31" s="67">
        <f>SUM(AB31:AE31)</f>
        <v>187</v>
      </c>
      <c r="AB31" s="67"/>
      <c r="AC31" s="67">
        <v>187</v>
      </c>
      <c r="AD31" s="67"/>
      <c r="AE31" s="67"/>
      <c r="AF31" s="107" t="s">
        <v>134</v>
      </c>
      <c r="AG31" s="69"/>
    </row>
    <row r="32" spans="1:48" ht="75.75" customHeight="1" x14ac:dyDescent="0.25">
      <c r="A32" s="87" t="s">
        <v>135</v>
      </c>
      <c r="B32" s="88" t="s">
        <v>136</v>
      </c>
      <c r="C32" s="101">
        <f>D32+G32</f>
        <v>7041.0966100000005</v>
      </c>
      <c r="D32" s="101">
        <f t="shared" si="39"/>
        <v>7041.0966100000005</v>
      </c>
      <c r="E32" s="101"/>
      <c r="F32" s="101">
        <f>'[1]PLI.3 KQ 2024'!$I$24</f>
        <v>7041.0966100000005</v>
      </c>
      <c r="G32" s="101">
        <f t="shared" si="40"/>
        <v>0</v>
      </c>
      <c r="H32" s="101"/>
      <c r="I32" s="101">
        <v>0</v>
      </c>
      <c r="J32" s="101">
        <f t="shared" si="41"/>
        <v>0</v>
      </c>
      <c r="K32" s="101">
        <f t="shared" si="42"/>
        <v>0</v>
      </c>
      <c r="L32" s="101"/>
      <c r="M32" s="101"/>
      <c r="N32" s="101"/>
      <c r="O32" s="101"/>
      <c r="P32" s="101"/>
      <c r="Q32" s="101">
        <f>R32+U32</f>
        <v>1579.2000000000007</v>
      </c>
      <c r="R32" s="101">
        <f t="shared" si="45"/>
        <v>1579.2000000000007</v>
      </c>
      <c r="S32" s="101"/>
      <c r="T32" s="101">
        <f>F32-AC32</f>
        <v>1579.2000000000007</v>
      </c>
      <c r="U32" s="101">
        <f>SUM(V32:W32)</f>
        <v>0</v>
      </c>
      <c r="V32" s="101"/>
      <c r="W32" s="101">
        <f>I32-AE32</f>
        <v>0</v>
      </c>
      <c r="X32" s="102">
        <f t="shared" ref="X32" si="49">Q32/C32*100</f>
        <v>22.428324556109175</v>
      </c>
      <c r="Y32" s="102"/>
      <c r="Z32" s="102">
        <f t="shared" ref="Z32" si="50">(W32+T32)/(F32+I32)*100</f>
        <v>22.428324556109175</v>
      </c>
      <c r="AA32" s="101">
        <f>SUM(AB32:AE32)</f>
        <v>5461.8966099999998</v>
      </c>
      <c r="AB32" s="101"/>
      <c r="AC32" s="101">
        <f>-(-5461.89661)</f>
        <v>5461.8966099999998</v>
      </c>
      <c r="AD32" s="101"/>
      <c r="AE32" s="101"/>
      <c r="AF32" s="103" t="s">
        <v>137</v>
      </c>
      <c r="AG32" s="91"/>
    </row>
    <row r="33" spans="1:33" ht="68.25" customHeight="1" x14ac:dyDescent="0.25">
      <c r="A33" s="87" t="s">
        <v>138</v>
      </c>
      <c r="B33" s="88" t="s">
        <v>139</v>
      </c>
      <c r="C33" s="101">
        <f t="shared" si="38"/>
        <v>644.21983999999998</v>
      </c>
      <c r="D33" s="101">
        <f t="shared" si="39"/>
        <v>0.2198399999999765</v>
      </c>
      <c r="E33" s="101"/>
      <c r="F33" s="101">
        <f>'[1]PLI.3 KQ 2024'!$I$25</f>
        <v>0.2198399999999765</v>
      </c>
      <c r="G33" s="104">
        <f t="shared" si="40"/>
        <v>644</v>
      </c>
      <c r="H33" s="104"/>
      <c r="I33" s="104">
        <f>'[1]PLI.3 KQ 2024'!$L$25</f>
        <v>644</v>
      </c>
      <c r="J33" s="101">
        <f t="shared" si="41"/>
        <v>523.62300000000005</v>
      </c>
      <c r="K33" s="101">
        <f t="shared" si="42"/>
        <v>0.219</v>
      </c>
      <c r="L33" s="101"/>
      <c r="M33" s="101">
        <v>0.219</v>
      </c>
      <c r="N33" s="101">
        <f t="shared" ref="N33:N34" si="51">O33+P33</f>
        <v>523.404</v>
      </c>
      <c r="O33" s="101"/>
      <c r="P33" s="101">
        <v>523.404</v>
      </c>
      <c r="Q33" s="101">
        <f t="shared" si="44"/>
        <v>644.21983999999998</v>
      </c>
      <c r="R33" s="101">
        <f t="shared" si="45"/>
        <v>0.2198399999999765</v>
      </c>
      <c r="S33" s="101"/>
      <c r="T33" s="101">
        <f>'[1]PLI.3 KQ 2024'!$I$25</f>
        <v>0.2198399999999765</v>
      </c>
      <c r="U33" s="101">
        <f t="shared" si="46"/>
        <v>644</v>
      </c>
      <c r="V33" s="101"/>
      <c r="W33" s="101">
        <f>'[1]PLI.3 KQ 2024'!$L$25</f>
        <v>644</v>
      </c>
      <c r="X33" s="108">
        <f t="shared" si="6"/>
        <v>100</v>
      </c>
      <c r="Y33" s="102"/>
      <c r="Z33" s="102">
        <f t="shared" si="8"/>
        <v>100</v>
      </c>
      <c r="AA33" s="101">
        <f>SUM(AB33:AE33)</f>
        <v>0</v>
      </c>
      <c r="AB33" s="101">
        <f t="shared" si="47"/>
        <v>0</v>
      </c>
      <c r="AC33" s="101"/>
      <c r="AD33" s="101"/>
      <c r="AE33" s="101">
        <f t="shared" si="48"/>
        <v>0</v>
      </c>
      <c r="AF33" s="101"/>
      <c r="AG33" s="91"/>
    </row>
    <row r="34" spans="1:33" s="58" customFormat="1" ht="61.5" customHeight="1" x14ac:dyDescent="0.25">
      <c r="A34" s="78">
        <v>6</v>
      </c>
      <c r="B34" s="79" t="s">
        <v>74</v>
      </c>
      <c r="C34" s="77">
        <f>D34+G34</f>
        <v>5501.9059827777774</v>
      </c>
      <c r="D34" s="63">
        <f>SUM(E34:F34)</f>
        <v>696.90598277777735</v>
      </c>
      <c r="E34" s="63">
        <f>'[1]PLI.3 KQ 2024'!$H$26</f>
        <v>696.90598277777735</v>
      </c>
      <c r="F34" s="63"/>
      <c r="G34" s="77">
        <f t="shared" si="40"/>
        <v>4805</v>
      </c>
      <c r="H34" s="63">
        <f>'[1]PLI.3 KQ 2024'!$K$26+1916</f>
        <v>4208</v>
      </c>
      <c r="I34" s="63">
        <f>'[1]PLI.3 KQ 2024'!$L$26</f>
        <v>597</v>
      </c>
      <c r="J34" s="77">
        <f t="shared" si="41"/>
        <v>2030.596</v>
      </c>
      <c r="K34" s="77">
        <f t="shared" si="42"/>
        <v>0</v>
      </c>
      <c r="L34" s="63">
        <f>'[6]ĐT (chi tiết)'!$L$187</f>
        <v>0</v>
      </c>
      <c r="M34" s="63">
        <f>[7]VSN!$J$222</f>
        <v>0</v>
      </c>
      <c r="N34" s="77">
        <f t="shared" si="51"/>
        <v>2030.596</v>
      </c>
      <c r="O34" s="63">
        <f>'[6]ĐT (chi tiết)'!$N$187</f>
        <v>1433.7159999999999</v>
      </c>
      <c r="P34" s="109">
        <f>[7]VSN!$K$222</f>
        <v>596.88</v>
      </c>
      <c r="Q34" s="77">
        <f t="shared" si="44"/>
        <v>5501.7859827777775</v>
      </c>
      <c r="R34" s="77">
        <f t="shared" si="45"/>
        <v>696.90598277777735</v>
      </c>
      <c r="S34" s="63">
        <f>'[1]PLI.3 KQ 2024'!$H$26</f>
        <v>696.90598277777735</v>
      </c>
      <c r="T34" s="63"/>
      <c r="U34" s="77">
        <f t="shared" si="46"/>
        <v>4804.88</v>
      </c>
      <c r="V34" s="63">
        <f>'[1]PLI.3 KQ 2024'!$K$26+1916</f>
        <v>4208</v>
      </c>
      <c r="W34" s="109">
        <f>[7]VSN!$K$222</f>
        <v>596.88</v>
      </c>
      <c r="X34" s="63">
        <f t="shared" si="6"/>
        <v>99.997818937648603</v>
      </c>
      <c r="Y34" s="63">
        <f t="shared" si="7"/>
        <v>100</v>
      </c>
      <c r="Z34" s="63">
        <f t="shared" si="8"/>
        <v>99.979899497487438</v>
      </c>
      <c r="AA34" s="77">
        <f t="shared" ref="AA34" si="52">AB34+AE34</f>
        <v>0</v>
      </c>
      <c r="AB34" s="77">
        <f t="shared" si="47"/>
        <v>0</v>
      </c>
      <c r="AC34" s="63"/>
      <c r="AD34" s="63"/>
      <c r="AE34" s="77">
        <f t="shared" si="48"/>
        <v>0</v>
      </c>
      <c r="AF34" s="63"/>
      <c r="AG34" s="64"/>
    </row>
    <row r="35" spans="1:33" s="58" customFormat="1" ht="73.5" customHeight="1" x14ac:dyDescent="0.25">
      <c r="A35" s="78">
        <v>7</v>
      </c>
      <c r="B35" s="79" t="s">
        <v>140</v>
      </c>
      <c r="C35" s="63"/>
      <c r="D35" s="63">
        <f t="shared" ref="D35" si="53">D36</f>
        <v>346.50484600000004</v>
      </c>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4"/>
    </row>
    <row r="36" spans="1:33" s="58" customFormat="1" ht="62.25" customHeight="1" x14ac:dyDescent="0.25">
      <c r="A36" s="78">
        <v>8</v>
      </c>
      <c r="B36" s="79" t="s">
        <v>75</v>
      </c>
      <c r="C36" s="110">
        <f>D36+G36</f>
        <v>2027.504846</v>
      </c>
      <c r="D36" s="63">
        <f>E36+F36</f>
        <v>346.50484600000004</v>
      </c>
      <c r="E36" s="63"/>
      <c r="F36" s="63">
        <f>'[1]PLI.3 KQ 2024'!$I$28</f>
        <v>346.50484600000004</v>
      </c>
      <c r="G36" s="109">
        <f>SUM(H36:I36)</f>
        <v>1681</v>
      </c>
      <c r="H36" s="109"/>
      <c r="I36" s="109">
        <f>'[1]PLI.3 KQ 2024'!$L$28</f>
        <v>1681</v>
      </c>
      <c r="J36" s="110">
        <f>K36+N36</f>
        <v>1248.7</v>
      </c>
      <c r="K36" s="63">
        <f>SUM(L36:M36)</f>
        <v>346.50484600000004</v>
      </c>
      <c r="L36" s="63"/>
      <c r="M36" s="63">
        <v>346.50484600000004</v>
      </c>
      <c r="N36" s="63">
        <f>SUM(O36:P36)</f>
        <v>902.195154</v>
      </c>
      <c r="O36" s="63"/>
      <c r="P36" s="63">
        <f>[3]VSN!$K$224+(1165-M36)</f>
        <v>902.195154</v>
      </c>
      <c r="Q36" s="110">
        <f>R36+U36</f>
        <v>2027.504846</v>
      </c>
      <c r="R36" s="63">
        <f>SUM(S36:T36)</f>
        <v>346.50484600000004</v>
      </c>
      <c r="S36" s="63"/>
      <c r="T36" s="63">
        <f>'[1]PLI.3 KQ 2024'!$I$28</f>
        <v>346.50484600000004</v>
      </c>
      <c r="U36" s="63">
        <f>SUM(V36:W36)</f>
        <v>1681</v>
      </c>
      <c r="V36" s="63"/>
      <c r="W36" s="63">
        <f>'[1]PLI.3 KQ 2024'!$L$28</f>
        <v>1681</v>
      </c>
      <c r="X36" s="63">
        <f t="shared" si="6"/>
        <v>100</v>
      </c>
      <c r="Y36" s="63"/>
      <c r="Z36" s="63">
        <f t="shared" si="8"/>
        <v>100</v>
      </c>
      <c r="AA36" s="63">
        <f>SUM(AB36:AE36)</f>
        <v>0</v>
      </c>
      <c r="AB36" s="63">
        <f t="shared" ref="AB36:AE36" si="54">SUM(AB37:AB40)</f>
        <v>0</v>
      </c>
      <c r="AC36" s="63">
        <f t="shared" si="54"/>
        <v>0</v>
      </c>
      <c r="AD36" s="63">
        <f t="shared" si="54"/>
        <v>0</v>
      </c>
      <c r="AE36" s="63">
        <f t="shared" si="54"/>
        <v>0</v>
      </c>
      <c r="AF36" s="63"/>
      <c r="AG36" s="64"/>
    </row>
    <row r="37" spans="1:33" s="70" customFormat="1" ht="42.75" hidden="1" customHeight="1" x14ac:dyDescent="0.25">
      <c r="A37" s="65" t="s">
        <v>104</v>
      </c>
      <c r="B37" s="93" t="s">
        <v>141</v>
      </c>
      <c r="C37" s="67">
        <f>D37+G37</f>
        <v>0</v>
      </c>
      <c r="D37" s="67">
        <f>E37+F37</f>
        <v>0</v>
      </c>
      <c r="E37" s="67"/>
      <c r="F37" s="67"/>
      <c r="G37" s="67">
        <f>H37+I37</f>
        <v>0</v>
      </c>
      <c r="H37" s="67"/>
      <c r="I37" s="67"/>
      <c r="J37" s="67">
        <f>K37+N37</f>
        <v>0</v>
      </c>
      <c r="K37" s="67">
        <f>L37+M37</f>
        <v>0</v>
      </c>
      <c r="L37" s="67"/>
      <c r="M37" s="67"/>
      <c r="N37" s="67">
        <f>O37+P37</f>
        <v>0</v>
      </c>
      <c r="O37" s="67"/>
      <c r="P37" s="67"/>
      <c r="Q37" s="67">
        <f>R37+U37</f>
        <v>0</v>
      </c>
      <c r="R37" s="67">
        <f>S37+T37</f>
        <v>0</v>
      </c>
      <c r="S37" s="67"/>
      <c r="T37" s="67"/>
      <c r="U37" s="67">
        <f>V37+W37</f>
        <v>0</v>
      </c>
      <c r="V37" s="67"/>
      <c r="W37" s="67"/>
      <c r="X37" s="63" t="e">
        <f t="shared" si="6"/>
        <v>#DIV/0!</v>
      </c>
      <c r="Y37" s="63" t="e">
        <f t="shared" si="7"/>
        <v>#DIV/0!</v>
      </c>
      <c r="Z37" s="63" t="e">
        <f t="shared" si="8"/>
        <v>#DIV/0!</v>
      </c>
      <c r="AA37" s="67">
        <f>AB37+AE37</f>
        <v>0</v>
      </c>
      <c r="AB37" s="67">
        <f>AC37+AD37</f>
        <v>0</v>
      </c>
      <c r="AC37" s="67"/>
      <c r="AD37" s="67"/>
      <c r="AE37" s="67">
        <f>AF37+AG37</f>
        <v>0</v>
      </c>
      <c r="AF37" s="67"/>
      <c r="AG37" s="69"/>
    </row>
    <row r="38" spans="1:33" s="70" customFormat="1" ht="87" hidden="1" customHeight="1" x14ac:dyDescent="0.25">
      <c r="A38" s="65" t="s">
        <v>104</v>
      </c>
      <c r="B38" s="93" t="s">
        <v>142</v>
      </c>
      <c r="C38" s="67">
        <f>D38+G38</f>
        <v>0</v>
      </c>
      <c r="D38" s="67">
        <f>E38+F38</f>
        <v>0</v>
      </c>
      <c r="E38" s="67"/>
      <c r="F38" s="67"/>
      <c r="G38" s="67">
        <f>H38+I38</f>
        <v>0</v>
      </c>
      <c r="H38" s="67"/>
      <c r="I38" s="67"/>
      <c r="J38" s="67">
        <f>K38+N38</f>
        <v>0</v>
      </c>
      <c r="K38" s="67">
        <f>L38+M38</f>
        <v>0</v>
      </c>
      <c r="L38" s="67"/>
      <c r="M38" s="67"/>
      <c r="N38" s="67">
        <f>O38+P38</f>
        <v>0</v>
      </c>
      <c r="O38" s="67"/>
      <c r="P38" s="67"/>
      <c r="Q38" s="67">
        <f>R38+U38</f>
        <v>0</v>
      </c>
      <c r="R38" s="67">
        <f>S38+T38</f>
        <v>0</v>
      </c>
      <c r="S38" s="67"/>
      <c r="T38" s="67"/>
      <c r="U38" s="67">
        <f>V38+W38</f>
        <v>0</v>
      </c>
      <c r="V38" s="67"/>
      <c r="W38" s="67"/>
      <c r="X38" s="63" t="e">
        <f t="shared" si="6"/>
        <v>#DIV/0!</v>
      </c>
      <c r="Y38" s="63" t="e">
        <f t="shared" si="7"/>
        <v>#DIV/0!</v>
      </c>
      <c r="Z38" s="63" t="e">
        <f t="shared" si="8"/>
        <v>#DIV/0!</v>
      </c>
      <c r="AA38" s="67">
        <f>AB38+AE38</f>
        <v>0</v>
      </c>
      <c r="AB38" s="67">
        <f>AC38+AD38</f>
        <v>0</v>
      </c>
      <c r="AC38" s="67"/>
      <c r="AD38" s="67"/>
      <c r="AE38" s="67">
        <f>AF38+AG38</f>
        <v>0</v>
      </c>
      <c r="AF38" s="67"/>
      <c r="AG38" s="69"/>
    </row>
    <row r="39" spans="1:33" s="70" customFormat="1" ht="104.25" hidden="1" customHeight="1" x14ac:dyDescent="0.25">
      <c r="A39" s="65" t="s">
        <v>104</v>
      </c>
      <c r="B39" s="93" t="s">
        <v>143</v>
      </c>
      <c r="C39" s="67">
        <f>D39+G39</f>
        <v>0</v>
      </c>
      <c r="D39" s="67">
        <f>E39+F39</f>
        <v>0</v>
      </c>
      <c r="E39" s="67"/>
      <c r="F39" s="67"/>
      <c r="G39" s="67">
        <f>H39+I39</f>
        <v>0</v>
      </c>
      <c r="H39" s="67"/>
      <c r="I39" s="67"/>
      <c r="J39" s="67">
        <f>K39+N39</f>
        <v>0</v>
      </c>
      <c r="K39" s="67">
        <f>L39+M39</f>
        <v>0</v>
      </c>
      <c r="L39" s="67"/>
      <c r="M39" s="67"/>
      <c r="N39" s="67">
        <f>O39+P39</f>
        <v>0</v>
      </c>
      <c r="O39" s="67"/>
      <c r="P39" s="67"/>
      <c r="Q39" s="67">
        <f>R39+U39</f>
        <v>0</v>
      </c>
      <c r="R39" s="67">
        <f>S39+T39</f>
        <v>0</v>
      </c>
      <c r="S39" s="67"/>
      <c r="T39" s="67"/>
      <c r="U39" s="67">
        <f>V39+W39</f>
        <v>0</v>
      </c>
      <c r="V39" s="67"/>
      <c r="W39" s="67"/>
      <c r="X39" s="63" t="e">
        <f t="shared" si="6"/>
        <v>#DIV/0!</v>
      </c>
      <c r="Y39" s="63" t="e">
        <f t="shared" si="7"/>
        <v>#DIV/0!</v>
      </c>
      <c r="Z39" s="63" t="e">
        <f t="shared" si="8"/>
        <v>#DIV/0!</v>
      </c>
      <c r="AA39" s="67">
        <f>AB39+AE39</f>
        <v>0</v>
      </c>
      <c r="AB39" s="67">
        <f>AC39+AD39</f>
        <v>0</v>
      </c>
      <c r="AC39" s="67"/>
      <c r="AD39" s="67"/>
      <c r="AE39" s="67">
        <f>AF39+AG39</f>
        <v>0</v>
      </c>
      <c r="AF39" s="67"/>
      <c r="AG39" s="69"/>
    </row>
    <row r="40" spans="1:33" s="70" customFormat="1" ht="0.75" customHeight="1" x14ac:dyDescent="0.25">
      <c r="A40" s="65" t="s">
        <v>104</v>
      </c>
      <c r="B40" s="93" t="s">
        <v>144</v>
      </c>
      <c r="C40" s="67">
        <f>D40+G40</f>
        <v>0</v>
      </c>
      <c r="D40" s="67">
        <f>E40+F40</f>
        <v>0</v>
      </c>
      <c r="E40" s="67"/>
      <c r="F40" s="67"/>
      <c r="G40" s="67">
        <f>H40+I40</f>
        <v>0</v>
      </c>
      <c r="H40" s="67"/>
      <c r="I40" s="67"/>
      <c r="J40" s="67">
        <f>K40+N40</f>
        <v>0</v>
      </c>
      <c r="K40" s="67">
        <f>L40+M40</f>
        <v>0</v>
      </c>
      <c r="L40" s="67"/>
      <c r="M40" s="67"/>
      <c r="N40" s="67">
        <f>O40+P40</f>
        <v>0</v>
      </c>
      <c r="O40" s="67"/>
      <c r="P40" s="67"/>
      <c r="Q40" s="67">
        <f>R40+U40</f>
        <v>0</v>
      </c>
      <c r="R40" s="67">
        <f>S40+T40</f>
        <v>0</v>
      </c>
      <c r="S40" s="67"/>
      <c r="T40" s="67"/>
      <c r="U40" s="67">
        <f>V40+W40</f>
        <v>0</v>
      </c>
      <c r="V40" s="67"/>
      <c r="W40" s="67"/>
      <c r="X40" s="63" t="e">
        <f t="shared" si="6"/>
        <v>#DIV/0!</v>
      </c>
      <c r="Y40" s="63" t="e">
        <f t="shared" si="7"/>
        <v>#DIV/0!</v>
      </c>
      <c r="Z40" s="63" t="e">
        <f t="shared" si="8"/>
        <v>#DIV/0!</v>
      </c>
      <c r="AA40" s="67">
        <f>AB40+AE40</f>
        <v>0</v>
      </c>
      <c r="AB40" s="67">
        <f>AC40+AD40</f>
        <v>0</v>
      </c>
      <c r="AC40" s="67"/>
      <c r="AD40" s="67"/>
      <c r="AE40" s="67">
        <f>AF40+AG40</f>
        <v>0</v>
      </c>
      <c r="AF40" s="67"/>
      <c r="AG40" s="69"/>
    </row>
    <row r="41" spans="1:33" s="58" customFormat="1" ht="59.25" customHeight="1" x14ac:dyDescent="0.25">
      <c r="A41" s="78">
        <v>9</v>
      </c>
      <c r="B41" s="79" t="s">
        <v>76</v>
      </c>
      <c r="C41" s="63">
        <f>SUM(C42:C43)</f>
        <v>377.96</v>
      </c>
      <c r="D41" s="63">
        <f t="shared" ref="D41:AE41" si="55">SUM(D42:D43)</f>
        <v>1.9599999999999795</v>
      </c>
      <c r="E41" s="63">
        <f t="shared" si="55"/>
        <v>0</v>
      </c>
      <c r="F41" s="63">
        <f t="shared" si="55"/>
        <v>1.9599999999999795</v>
      </c>
      <c r="G41" s="63">
        <f t="shared" si="55"/>
        <v>376</v>
      </c>
      <c r="H41" s="63">
        <f t="shared" si="55"/>
        <v>0</v>
      </c>
      <c r="I41" s="63">
        <f t="shared" si="55"/>
        <v>376</v>
      </c>
      <c r="J41" s="63">
        <f>SUM(J42:J43)</f>
        <v>0</v>
      </c>
      <c r="K41" s="63">
        <f t="shared" ref="K41:P41" si="56">SUM(K42:K43)</f>
        <v>0</v>
      </c>
      <c r="L41" s="63">
        <f t="shared" si="56"/>
        <v>0</v>
      </c>
      <c r="M41" s="63">
        <f t="shared" si="56"/>
        <v>0</v>
      </c>
      <c r="N41" s="63">
        <f t="shared" si="56"/>
        <v>0</v>
      </c>
      <c r="O41" s="63">
        <f t="shared" si="56"/>
        <v>0</v>
      </c>
      <c r="P41" s="63">
        <f t="shared" si="56"/>
        <v>0</v>
      </c>
      <c r="Q41" s="63">
        <f>SUM(Q42:Q43)</f>
        <v>377.96</v>
      </c>
      <c r="R41" s="63">
        <f t="shared" ref="R41:W41" si="57">SUM(R42:R43)</f>
        <v>1.9599999999999795</v>
      </c>
      <c r="S41" s="63">
        <f t="shared" si="57"/>
        <v>0</v>
      </c>
      <c r="T41" s="63">
        <f t="shared" si="57"/>
        <v>1.9599999999999795</v>
      </c>
      <c r="U41" s="63">
        <f t="shared" si="57"/>
        <v>376</v>
      </c>
      <c r="V41" s="63">
        <f t="shared" si="57"/>
        <v>0</v>
      </c>
      <c r="W41" s="63">
        <f t="shared" si="57"/>
        <v>376</v>
      </c>
      <c r="X41" s="63">
        <f t="shared" si="6"/>
        <v>100</v>
      </c>
      <c r="Y41" s="63"/>
      <c r="Z41" s="63">
        <f t="shared" si="8"/>
        <v>100</v>
      </c>
      <c r="AA41" s="63">
        <f t="shared" si="55"/>
        <v>0</v>
      </c>
      <c r="AB41" s="63">
        <f t="shared" si="55"/>
        <v>0</v>
      </c>
      <c r="AC41" s="63">
        <f t="shared" si="55"/>
        <v>0</v>
      </c>
      <c r="AD41" s="63">
        <f t="shared" si="55"/>
        <v>0</v>
      </c>
      <c r="AE41" s="63">
        <f t="shared" si="55"/>
        <v>0</v>
      </c>
      <c r="AF41" s="63"/>
      <c r="AG41" s="64"/>
    </row>
    <row r="42" spans="1:33" ht="63" customHeight="1" x14ac:dyDescent="0.25">
      <c r="A42" s="87" t="s">
        <v>145</v>
      </c>
      <c r="B42" s="88" t="s">
        <v>146</v>
      </c>
      <c r="C42" s="101">
        <f>D42+G42</f>
        <v>0</v>
      </c>
      <c r="D42" s="101">
        <f>E42+F42</f>
        <v>0</v>
      </c>
      <c r="E42" s="101"/>
      <c r="F42" s="101"/>
      <c r="G42" s="101">
        <f>H42+I42</f>
        <v>0</v>
      </c>
      <c r="H42" s="101"/>
      <c r="I42" s="101"/>
      <c r="J42" s="101">
        <f>K42+N42</f>
        <v>0</v>
      </c>
      <c r="K42" s="101">
        <f>L42+M42</f>
        <v>0</v>
      </c>
      <c r="L42" s="101"/>
      <c r="M42" s="101"/>
      <c r="N42" s="101">
        <f>O42+P42</f>
        <v>0</v>
      </c>
      <c r="O42" s="101"/>
      <c r="P42" s="101"/>
      <c r="Q42" s="101">
        <f>R42+U42</f>
        <v>0</v>
      </c>
      <c r="R42" s="101">
        <f>S42+T42</f>
        <v>0</v>
      </c>
      <c r="S42" s="101"/>
      <c r="T42" s="101"/>
      <c r="U42" s="101">
        <f>V42+W42</f>
        <v>0</v>
      </c>
      <c r="V42" s="101"/>
      <c r="W42" s="101"/>
      <c r="X42" s="102"/>
      <c r="Y42" s="102"/>
      <c r="Z42" s="102"/>
      <c r="AA42" s="101">
        <f>SUM(AB42:AE42)</f>
        <v>0</v>
      </c>
      <c r="AB42" s="101">
        <f>AC42+AD42</f>
        <v>0</v>
      </c>
      <c r="AC42" s="101"/>
      <c r="AD42" s="101"/>
      <c r="AE42" s="101">
        <f>AF42+AG42</f>
        <v>0</v>
      </c>
      <c r="AF42" s="101"/>
      <c r="AG42" s="91"/>
    </row>
    <row r="43" spans="1:33" ht="62.25" customHeight="1" x14ac:dyDescent="0.25">
      <c r="A43" s="87" t="s">
        <v>147</v>
      </c>
      <c r="B43" s="88" t="s">
        <v>148</v>
      </c>
      <c r="C43" s="101">
        <f>D43+G43</f>
        <v>377.96</v>
      </c>
      <c r="D43" s="101">
        <f>E43+F43</f>
        <v>1.9599999999999795</v>
      </c>
      <c r="E43" s="101"/>
      <c r="F43" s="101">
        <f>'[1]PLI.3 KQ 2024'!$I$31</f>
        <v>1.9599999999999795</v>
      </c>
      <c r="G43" s="101">
        <f>H43+I43</f>
        <v>376</v>
      </c>
      <c r="H43" s="101"/>
      <c r="I43" s="101">
        <f>'[1]PLI.3 KQ 2024'!$L$31</f>
        <v>376</v>
      </c>
      <c r="J43" s="101">
        <f>K43+N43</f>
        <v>0</v>
      </c>
      <c r="K43" s="101">
        <f>L43+M43</f>
        <v>0</v>
      </c>
      <c r="L43" s="101"/>
      <c r="M43" s="101"/>
      <c r="N43" s="101">
        <f>O43+P43</f>
        <v>0</v>
      </c>
      <c r="O43" s="101"/>
      <c r="P43" s="101"/>
      <c r="Q43" s="101">
        <f>R43+U43</f>
        <v>377.96</v>
      </c>
      <c r="R43" s="101">
        <f>S43+T43</f>
        <v>1.9599999999999795</v>
      </c>
      <c r="S43" s="101"/>
      <c r="T43" s="101">
        <f>'[1]PLI.3 KQ 2024'!$I$31</f>
        <v>1.9599999999999795</v>
      </c>
      <c r="U43" s="101">
        <f>V43+W43</f>
        <v>376</v>
      </c>
      <c r="V43" s="101"/>
      <c r="W43" s="101">
        <f>'[1]PLI.3 KQ 2024'!$L$31</f>
        <v>376</v>
      </c>
      <c r="X43" s="102">
        <f t="shared" si="6"/>
        <v>100</v>
      </c>
      <c r="Y43" s="102"/>
      <c r="Z43" s="102">
        <f t="shared" si="8"/>
        <v>100</v>
      </c>
      <c r="AA43" s="101">
        <f>SUM(AB43:AE43)</f>
        <v>0</v>
      </c>
      <c r="AB43" s="101">
        <f>AC43+AD43</f>
        <v>0</v>
      </c>
      <c r="AC43" s="101"/>
      <c r="AD43" s="101"/>
      <c r="AE43" s="101">
        <f>AF43+AG43</f>
        <v>0</v>
      </c>
      <c r="AF43" s="101"/>
      <c r="AG43" s="91"/>
    </row>
    <row r="44" spans="1:33" s="58" customFormat="1" ht="94.5" customHeight="1" x14ac:dyDescent="0.25">
      <c r="A44" s="78">
        <v>10</v>
      </c>
      <c r="B44" s="79" t="s">
        <v>149</v>
      </c>
      <c r="C44" s="63">
        <f>C45+C49+C50</f>
        <v>6816.870398</v>
      </c>
      <c r="D44" s="63">
        <f t="shared" ref="D44:AE44" si="58">D45+D49+D50</f>
        <v>5606.870398</v>
      </c>
      <c r="E44" s="63">
        <f t="shared" si="58"/>
        <v>4686.3519479999995</v>
      </c>
      <c r="F44" s="63">
        <f t="shared" si="58"/>
        <v>920.51845000000003</v>
      </c>
      <c r="G44" s="63">
        <f t="shared" si="58"/>
        <v>1210</v>
      </c>
      <c r="H44" s="63">
        <f t="shared" si="58"/>
        <v>0</v>
      </c>
      <c r="I44" s="63">
        <f>I45+I49+I50</f>
        <v>1210</v>
      </c>
      <c r="J44" s="63">
        <f>J45+J49+J50</f>
        <v>5892.8090000000002</v>
      </c>
      <c r="K44" s="63">
        <f t="shared" ref="K44:P44" si="59">K45+K49+K50</f>
        <v>5155.6842000000006</v>
      </c>
      <c r="L44" s="63">
        <f t="shared" si="59"/>
        <v>4398.1090000000004</v>
      </c>
      <c r="M44" s="63">
        <f t="shared" si="59"/>
        <v>0</v>
      </c>
      <c r="N44" s="63">
        <f t="shared" si="59"/>
        <v>737.12480000000005</v>
      </c>
      <c r="O44" s="63">
        <f t="shared" si="59"/>
        <v>0</v>
      </c>
      <c r="P44" s="63">
        <f t="shared" si="59"/>
        <v>0</v>
      </c>
      <c r="Q44" s="63">
        <f>Q45+Q49+Q50</f>
        <v>6816.870398</v>
      </c>
      <c r="R44" s="63">
        <f t="shared" ref="R44:W44" si="60">R45+R49+R50</f>
        <v>5606.870398</v>
      </c>
      <c r="S44" s="63">
        <f t="shared" si="60"/>
        <v>4686.3519479999995</v>
      </c>
      <c r="T44" s="63">
        <f t="shared" si="60"/>
        <v>920.51845000000003</v>
      </c>
      <c r="U44" s="63">
        <f t="shared" si="60"/>
        <v>1210</v>
      </c>
      <c r="V44" s="63">
        <f t="shared" si="60"/>
        <v>0</v>
      </c>
      <c r="W44" s="63">
        <f t="shared" si="60"/>
        <v>492</v>
      </c>
      <c r="X44" s="63">
        <f t="shared" si="6"/>
        <v>100</v>
      </c>
      <c r="Y44" s="63">
        <f t="shared" si="7"/>
        <v>100</v>
      </c>
      <c r="Z44" s="63">
        <f>(W44+T44)/(F44+I44)*100</f>
        <v>66.299282693374479</v>
      </c>
      <c r="AA44" s="63">
        <f t="shared" si="58"/>
        <v>0</v>
      </c>
      <c r="AB44" s="63">
        <f t="shared" si="58"/>
        <v>0</v>
      </c>
      <c r="AC44" s="63">
        <f t="shared" si="58"/>
        <v>0</v>
      </c>
      <c r="AD44" s="63">
        <f t="shared" si="58"/>
        <v>0</v>
      </c>
      <c r="AE44" s="63">
        <f t="shared" si="58"/>
        <v>0</v>
      </c>
      <c r="AF44" s="63"/>
      <c r="AG44" s="64"/>
    </row>
    <row r="45" spans="1:33" ht="123.75" customHeight="1" x14ac:dyDescent="0.25">
      <c r="A45" s="100" t="s">
        <v>150</v>
      </c>
      <c r="B45" s="88" t="s">
        <v>151</v>
      </c>
      <c r="C45" s="101">
        <f>SUM(C46:C48)</f>
        <v>1475.5752</v>
      </c>
      <c r="D45" s="101">
        <f t="shared" ref="D45:AE45" si="61">SUM(D46:D48)</f>
        <v>757.5752</v>
      </c>
      <c r="E45" s="101">
        <f t="shared" si="61"/>
        <v>0</v>
      </c>
      <c r="F45" s="101">
        <f t="shared" si="61"/>
        <v>757.5752</v>
      </c>
      <c r="G45" s="101">
        <f t="shared" si="61"/>
        <v>718</v>
      </c>
      <c r="H45" s="101">
        <f t="shared" si="61"/>
        <v>0</v>
      </c>
      <c r="I45" s="101">
        <f t="shared" si="61"/>
        <v>718</v>
      </c>
      <c r="J45" s="101">
        <f>SUM(J46:J48)</f>
        <v>1494.7</v>
      </c>
      <c r="K45" s="101">
        <f t="shared" ref="K45:L45" si="62">SUM(K46:K48)</f>
        <v>757.5752</v>
      </c>
      <c r="L45" s="101">
        <f t="shared" si="62"/>
        <v>0</v>
      </c>
      <c r="M45" s="101"/>
      <c r="N45" s="101">
        <f t="shared" ref="N45:O45" si="63">SUM(N46:N48)</f>
        <v>737.12480000000005</v>
      </c>
      <c r="O45" s="101">
        <f t="shared" si="63"/>
        <v>0</v>
      </c>
      <c r="P45" s="101"/>
      <c r="Q45" s="101">
        <f>SUM(Q46:Q48)</f>
        <v>1475.5752</v>
      </c>
      <c r="R45" s="101">
        <f t="shared" ref="R45:V45" si="64">SUM(R46:R48)</f>
        <v>757.5752</v>
      </c>
      <c r="S45" s="101">
        <f t="shared" si="64"/>
        <v>0</v>
      </c>
      <c r="T45" s="101">
        <f t="shared" si="64"/>
        <v>757.5752</v>
      </c>
      <c r="U45" s="101">
        <f t="shared" si="64"/>
        <v>718</v>
      </c>
      <c r="V45" s="101">
        <f t="shared" si="64"/>
        <v>0</v>
      </c>
      <c r="W45" s="101"/>
      <c r="X45" s="102">
        <f>Q45/C45*100</f>
        <v>100</v>
      </c>
      <c r="Y45" s="102"/>
      <c r="Z45" s="102">
        <f>(W45+T45)/(F45+I45)*100</f>
        <v>51.341009255238227</v>
      </c>
      <c r="AA45" s="101">
        <f>SUM(AB45:AE45)</f>
        <v>0</v>
      </c>
      <c r="AB45" s="101">
        <f t="shared" si="61"/>
        <v>0</v>
      </c>
      <c r="AC45" s="101">
        <f t="shared" si="61"/>
        <v>0</v>
      </c>
      <c r="AD45" s="101">
        <f t="shared" si="61"/>
        <v>0</v>
      </c>
      <c r="AE45" s="101">
        <f t="shared" si="61"/>
        <v>0</v>
      </c>
      <c r="AF45" s="101"/>
      <c r="AG45" s="91"/>
    </row>
    <row r="46" spans="1:33" s="70" customFormat="1" ht="51.75" customHeight="1" x14ac:dyDescent="0.25">
      <c r="A46" s="65" t="s">
        <v>104</v>
      </c>
      <c r="B46" s="93" t="s">
        <v>152</v>
      </c>
      <c r="C46" s="67">
        <f>D46+G46</f>
        <v>0</v>
      </c>
      <c r="D46" s="67">
        <f>E46+F46</f>
        <v>0</v>
      </c>
      <c r="E46" s="67"/>
      <c r="F46" s="67"/>
      <c r="G46" s="67">
        <f>H46+I46</f>
        <v>0</v>
      </c>
      <c r="H46" s="67"/>
      <c r="I46" s="67"/>
      <c r="J46" s="67">
        <f>K46+N46</f>
        <v>706</v>
      </c>
      <c r="K46" s="67">
        <f>L46+M46</f>
        <v>0</v>
      </c>
      <c r="L46" s="67"/>
      <c r="M46" s="67"/>
      <c r="N46" s="67">
        <f>O46+P46</f>
        <v>706</v>
      </c>
      <c r="O46" s="67"/>
      <c r="P46" s="67">
        <v>706</v>
      </c>
      <c r="Q46" s="67">
        <f>R46+U46</f>
        <v>0</v>
      </c>
      <c r="R46" s="67">
        <f>S46+T46</f>
        <v>0</v>
      </c>
      <c r="S46" s="67"/>
      <c r="T46" s="67"/>
      <c r="U46" s="67">
        <f>V46+W46</f>
        <v>0</v>
      </c>
      <c r="V46" s="67"/>
      <c r="W46" s="67"/>
      <c r="X46" s="102"/>
      <c r="Y46" s="102"/>
      <c r="Z46" s="102"/>
      <c r="AA46" s="101">
        <f t="shared" ref="AA46:AA50" si="65">SUM(AB46:AE46)</f>
        <v>0</v>
      </c>
      <c r="AB46" s="67">
        <f>AC46+AD46</f>
        <v>0</v>
      </c>
      <c r="AC46" s="67"/>
      <c r="AD46" s="67"/>
      <c r="AE46" s="67">
        <f>AF46+AG46</f>
        <v>0</v>
      </c>
      <c r="AF46" s="67"/>
      <c r="AG46" s="69"/>
    </row>
    <row r="47" spans="1:33" s="70" customFormat="1" ht="58.5" customHeight="1" x14ac:dyDescent="0.25">
      <c r="A47" s="65" t="s">
        <v>104</v>
      </c>
      <c r="B47" s="93" t="s">
        <v>153</v>
      </c>
      <c r="C47" s="67">
        <f>D47+G47</f>
        <v>1475.5752</v>
      </c>
      <c r="D47" s="67">
        <f>E47+F47</f>
        <v>757.5752</v>
      </c>
      <c r="E47" s="67"/>
      <c r="F47" s="67">
        <f>'[1]PLI.3 KQ 2024'!$I$33</f>
        <v>757.5752</v>
      </c>
      <c r="G47" s="67">
        <f>H47+I47</f>
        <v>718</v>
      </c>
      <c r="H47" s="67"/>
      <c r="I47" s="67">
        <f>718</f>
        <v>718</v>
      </c>
      <c r="J47" s="67">
        <f>K47+N47</f>
        <v>788.7</v>
      </c>
      <c r="K47" s="67">
        <f>L47+M47</f>
        <v>757.5752</v>
      </c>
      <c r="L47" s="67"/>
      <c r="M47" s="67">
        <v>757.5752</v>
      </c>
      <c r="N47" s="67">
        <f>O47+P47</f>
        <v>31.12480000000005</v>
      </c>
      <c r="O47" s="67"/>
      <c r="P47" s="67">
        <f>[3]VSN!$I$240-M47</f>
        <v>31.12480000000005</v>
      </c>
      <c r="Q47" s="67">
        <f>R47+U47</f>
        <v>1475.5752</v>
      </c>
      <c r="R47" s="67">
        <f>S47+T47</f>
        <v>757.5752</v>
      </c>
      <c r="S47" s="67"/>
      <c r="T47" s="67">
        <f>'[1]PLI.3 KQ 2024'!$I$33</f>
        <v>757.5752</v>
      </c>
      <c r="U47" s="67">
        <f>V47+W47</f>
        <v>718</v>
      </c>
      <c r="V47" s="67"/>
      <c r="W47" s="67">
        <v>718</v>
      </c>
      <c r="X47" s="102">
        <f>Q47/C47*100</f>
        <v>100</v>
      </c>
      <c r="Y47" s="102"/>
      <c r="Z47" s="102">
        <f>(W47+T47)/(F47+I47)*100</f>
        <v>100</v>
      </c>
      <c r="AA47" s="101">
        <f t="shared" si="65"/>
        <v>0</v>
      </c>
      <c r="AB47" s="67">
        <f>AC47+AD47</f>
        <v>0</v>
      </c>
      <c r="AC47" s="67"/>
      <c r="AD47" s="67"/>
      <c r="AE47" s="67">
        <f>AF47+AG47</f>
        <v>0</v>
      </c>
      <c r="AF47" s="67"/>
      <c r="AG47" s="69"/>
    </row>
    <row r="48" spans="1:33" s="70" customFormat="1" ht="76.5" customHeight="1" x14ac:dyDescent="0.25">
      <c r="A48" s="65" t="s">
        <v>104</v>
      </c>
      <c r="B48" s="93" t="s">
        <v>154</v>
      </c>
      <c r="C48" s="67">
        <f>D48+G48</f>
        <v>0</v>
      </c>
      <c r="D48" s="67">
        <f>E48+F48</f>
        <v>0</v>
      </c>
      <c r="E48" s="67"/>
      <c r="F48" s="67"/>
      <c r="G48" s="67">
        <f>H48+I48</f>
        <v>0</v>
      </c>
      <c r="H48" s="67"/>
      <c r="I48" s="67"/>
      <c r="J48" s="67">
        <f>K48+N48</f>
        <v>0</v>
      </c>
      <c r="K48" s="67">
        <f>L48+M48</f>
        <v>0</v>
      </c>
      <c r="L48" s="67"/>
      <c r="M48" s="67"/>
      <c r="N48" s="67">
        <f>O48+P48</f>
        <v>0</v>
      </c>
      <c r="O48" s="67"/>
      <c r="P48" s="67"/>
      <c r="Q48" s="67">
        <f>R48+U48</f>
        <v>0</v>
      </c>
      <c r="R48" s="67">
        <f>S48+T48</f>
        <v>0</v>
      </c>
      <c r="S48" s="67"/>
      <c r="T48" s="67"/>
      <c r="U48" s="67">
        <f>V48+W48</f>
        <v>0</v>
      </c>
      <c r="V48" s="67"/>
      <c r="W48" s="67"/>
      <c r="X48" s="102"/>
      <c r="Y48" s="102"/>
      <c r="Z48" s="102"/>
      <c r="AA48" s="101">
        <f t="shared" si="65"/>
        <v>0</v>
      </c>
      <c r="AB48" s="67">
        <f>AC48+AD48</f>
        <v>0</v>
      </c>
      <c r="AC48" s="67"/>
      <c r="AD48" s="67"/>
      <c r="AE48" s="67">
        <f>AF48+AG48</f>
        <v>0</v>
      </c>
      <c r="AF48" s="67"/>
      <c r="AG48" s="69"/>
    </row>
    <row r="49" spans="1:33" ht="78" customHeight="1" x14ac:dyDescent="0.25">
      <c r="A49" s="87" t="s">
        <v>155</v>
      </c>
      <c r="B49" s="88" t="s">
        <v>156</v>
      </c>
      <c r="C49" s="101">
        <f>D49+G49</f>
        <v>5000.3519479999995</v>
      </c>
      <c r="D49" s="101">
        <f>E49+F49</f>
        <v>4812.3519479999995</v>
      </c>
      <c r="E49" s="101">
        <f>'[1]PLI.3 KQ 2024'!$H$34+3186</f>
        <v>4686.3519479999995</v>
      </c>
      <c r="F49" s="101">
        <f>'[1]PLI.3 KQ 2024'!$I$34</f>
        <v>126</v>
      </c>
      <c r="G49" s="101">
        <f>H49+I49</f>
        <v>188</v>
      </c>
      <c r="H49" s="101">
        <f>'[1]PLI.3 KQ 2024'!$K$34</f>
        <v>0</v>
      </c>
      <c r="I49" s="101">
        <f>'[1]PLI.3 KQ 2024'!$L$34</f>
        <v>188</v>
      </c>
      <c r="J49" s="101">
        <f>K49+N49</f>
        <v>4398.1090000000004</v>
      </c>
      <c r="K49" s="101">
        <f>L49+M49</f>
        <v>4398.1090000000004</v>
      </c>
      <c r="L49" s="101">
        <f>'[2]ĐT (chi tiết)'!$K$204</f>
        <v>4398.1090000000004</v>
      </c>
      <c r="M49" s="101"/>
      <c r="N49" s="101">
        <f>O49+P49</f>
        <v>0</v>
      </c>
      <c r="O49" s="101"/>
      <c r="P49" s="101"/>
      <c r="Q49" s="101">
        <f>R49+U49</f>
        <v>5000.3519479999995</v>
      </c>
      <c r="R49" s="101">
        <f>S49+T49</f>
        <v>4812.3519479999995</v>
      </c>
      <c r="S49" s="101">
        <f>'[1]PLI.3 KQ 2024'!$H$34+3186</f>
        <v>4686.3519479999995</v>
      </c>
      <c r="T49" s="101">
        <f>'[1]PLI.3 KQ 2024'!$I$34</f>
        <v>126</v>
      </c>
      <c r="U49" s="101">
        <f>V49+W49</f>
        <v>188</v>
      </c>
      <c r="V49" s="101">
        <f>'[1]PLI.3 KQ 2024'!$K$34</f>
        <v>0</v>
      </c>
      <c r="W49" s="101">
        <f>'[1]PLI.3 KQ 2024'!$L$34</f>
        <v>188</v>
      </c>
      <c r="X49" s="102">
        <f t="shared" si="6"/>
        <v>100</v>
      </c>
      <c r="Y49" s="102">
        <f t="shared" si="7"/>
        <v>100</v>
      </c>
      <c r="Z49" s="102">
        <f t="shared" si="8"/>
        <v>100</v>
      </c>
      <c r="AA49" s="101">
        <f t="shared" si="65"/>
        <v>0</v>
      </c>
      <c r="AB49" s="101">
        <f>AC49+AD49</f>
        <v>0</v>
      </c>
      <c r="AC49" s="101"/>
      <c r="AD49" s="101"/>
      <c r="AE49" s="101">
        <f>AF49+AG49</f>
        <v>0</v>
      </c>
      <c r="AF49" s="101"/>
      <c r="AG49" s="91"/>
    </row>
    <row r="50" spans="1:33" ht="61.5" customHeight="1" x14ac:dyDescent="0.25">
      <c r="A50" s="87" t="s">
        <v>157</v>
      </c>
      <c r="B50" s="88" t="s">
        <v>158</v>
      </c>
      <c r="C50" s="101">
        <f>D50+G50</f>
        <v>340.94325000000003</v>
      </c>
      <c r="D50" s="101">
        <f>E50+F50</f>
        <v>36.943250000000035</v>
      </c>
      <c r="E50" s="101"/>
      <c r="F50" s="101">
        <f>'[1]PLI.3 KQ 2024'!$I$35</f>
        <v>36.943250000000035</v>
      </c>
      <c r="G50" s="101">
        <f>H50+I50</f>
        <v>304</v>
      </c>
      <c r="H50" s="101"/>
      <c r="I50" s="101">
        <f>'[1]PLI.3 KQ 2024'!$L$35</f>
        <v>304</v>
      </c>
      <c r="J50" s="101">
        <f>K50+N50</f>
        <v>0</v>
      </c>
      <c r="K50" s="101">
        <f>L50+M50</f>
        <v>0</v>
      </c>
      <c r="L50" s="101"/>
      <c r="M50" s="101"/>
      <c r="N50" s="101">
        <f>O50+P50</f>
        <v>0</v>
      </c>
      <c r="O50" s="101"/>
      <c r="P50" s="101"/>
      <c r="Q50" s="101">
        <f>R50+U50</f>
        <v>340.94325000000003</v>
      </c>
      <c r="R50" s="101">
        <f>S50+T50</f>
        <v>36.943250000000035</v>
      </c>
      <c r="S50" s="101"/>
      <c r="T50" s="101">
        <f>'[1]PLI.3 KQ 2024'!$I$35</f>
        <v>36.943250000000035</v>
      </c>
      <c r="U50" s="101">
        <f>V50+W50</f>
        <v>304</v>
      </c>
      <c r="V50" s="101"/>
      <c r="W50" s="101">
        <f>'[1]PLI.3 KQ 2024'!$L$35</f>
        <v>304</v>
      </c>
      <c r="X50" s="102">
        <f t="shared" si="6"/>
        <v>100</v>
      </c>
      <c r="Y50" s="102"/>
      <c r="Z50" s="102">
        <f t="shared" si="8"/>
        <v>100</v>
      </c>
      <c r="AA50" s="101">
        <f t="shared" si="65"/>
        <v>0</v>
      </c>
      <c r="AB50" s="101">
        <f>AC50+AD50</f>
        <v>0</v>
      </c>
      <c r="AC50" s="101"/>
      <c r="AD50" s="101"/>
      <c r="AE50" s="101">
        <f>AF50+AG50</f>
        <v>0</v>
      </c>
      <c r="AF50" s="101"/>
      <c r="AG50" s="91"/>
    </row>
    <row r="51" spans="1:33" ht="12" customHeight="1" x14ac:dyDescent="0.25"/>
    <row r="52" spans="1:33" ht="30.75" customHeight="1" x14ac:dyDescent="0.25">
      <c r="B52" s="111"/>
      <c r="C52" s="111"/>
      <c r="D52" s="111"/>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row>
    <row r="53" spans="1:33" ht="18.75" customHeight="1" x14ac:dyDescent="0.25">
      <c r="B53" s="111"/>
      <c r="C53" s="111"/>
      <c r="D53" s="111"/>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row>
    <row r="54" spans="1:33" ht="38.25" customHeight="1" x14ac:dyDescent="0.25">
      <c r="B54" s="111"/>
      <c r="C54" s="111"/>
      <c r="D54" s="111"/>
      <c r="E54" s="111"/>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row>
    <row r="55" spans="1:33" ht="45" customHeight="1" x14ac:dyDescent="0.25">
      <c r="B55" s="111"/>
      <c r="C55" s="111"/>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row>
    <row r="56" spans="1:33" ht="56.25" customHeight="1" x14ac:dyDescent="0.25">
      <c r="B56" s="111"/>
      <c r="C56" s="111"/>
      <c r="D56" s="111"/>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row>
    <row r="58" spans="1:33" x14ac:dyDescent="0.25">
      <c r="B58" s="112" t="s">
        <v>159</v>
      </c>
    </row>
    <row r="63" spans="1:33" x14ac:dyDescent="0.25">
      <c r="B63" s="92">
        <f>'[1]PLI.3 KQ 2024'!$H$11-E9</f>
        <v>0</v>
      </c>
    </row>
  </sheetData>
  <mergeCells count="50">
    <mergeCell ref="B54:AG54"/>
    <mergeCell ref="B55:AG55"/>
    <mergeCell ref="B56:AG56"/>
    <mergeCell ref="AC7:AC8"/>
    <mergeCell ref="AD7:AD8"/>
    <mergeCell ref="AE7:AE8"/>
    <mergeCell ref="B52:AG52"/>
    <mergeCell ref="B53:AG53"/>
    <mergeCell ref="AF5:AF8"/>
    <mergeCell ref="AG5:AG8"/>
    <mergeCell ref="C6:C8"/>
    <mergeCell ref="D6:F6"/>
    <mergeCell ref="G6:I6"/>
    <mergeCell ref="J6:J8"/>
    <mergeCell ref="K6:M6"/>
    <mergeCell ref="N6:P6"/>
    <mergeCell ref="Q6:Q8"/>
    <mergeCell ref="R6:T6"/>
    <mergeCell ref="U6:W6"/>
    <mergeCell ref="AB6:AC6"/>
    <mergeCell ref="AD6:AE6"/>
    <mergeCell ref="D7:D8"/>
    <mergeCell ref="E7:F7"/>
    <mergeCell ref="G7:G8"/>
    <mergeCell ref="J5:P5"/>
    <mergeCell ref="Q5:W5"/>
    <mergeCell ref="X5:Z6"/>
    <mergeCell ref="AA5:AA8"/>
    <mergeCell ref="AB5:AE5"/>
    <mergeCell ref="K7:K8"/>
    <mergeCell ref="L7:M7"/>
    <mergeCell ref="N7:N8"/>
    <mergeCell ref="O7:P7"/>
    <mergeCell ref="R7:R8"/>
    <mergeCell ref="S7:T7"/>
    <mergeCell ref="U7:U8"/>
    <mergeCell ref="V7:W7"/>
    <mergeCell ref="X7:X8"/>
    <mergeCell ref="Y7:Z7"/>
    <mergeCell ref="AB7:AB8"/>
    <mergeCell ref="U1:AG1"/>
    <mergeCell ref="A2:D2"/>
    <mergeCell ref="U2:AG2"/>
    <mergeCell ref="A3:AG3"/>
    <mergeCell ref="AF4:AG4"/>
    <mergeCell ref="A1:D1"/>
    <mergeCell ref="A5:A8"/>
    <mergeCell ref="B5:B8"/>
    <mergeCell ref="C5:I5"/>
    <mergeCell ref="H7:I7"/>
  </mergeCells>
  <pageMargins left="0.70866141732283472" right="0.70866141732283472"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
  <sheetViews>
    <sheetView workbookViewId="0">
      <selection activeCell="E6" sqref="E6"/>
    </sheetView>
  </sheetViews>
  <sheetFormatPr defaultRowHeight="15" x14ac:dyDescent="0.25"/>
  <cols>
    <col min="1" max="1" width="5.42578125" customWidth="1"/>
    <col min="2" max="2" width="28.7109375" customWidth="1"/>
    <col min="4" max="4" width="12.5703125" customWidth="1"/>
    <col min="9" max="9" width="11.140625" customWidth="1"/>
    <col min="10" max="10" width="12.42578125" customWidth="1"/>
  </cols>
  <sheetData>
    <row r="1" spans="1:11" ht="15.75" x14ac:dyDescent="0.25">
      <c r="A1" s="33" t="s">
        <v>27</v>
      </c>
      <c r="B1" s="34"/>
      <c r="C1" s="34"/>
      <c r="D1" s="34"/>
      <c r="E1" s="34"/>
      <c r="F1" s="34"/>
      <c r="G1" s="34"/>
      <c r="H1" s="34"/>
      <c r="I1" s="34"/>
      <c r="J1" s="34"/>
      <c r="K1" s="34"/>
    </row>
    <row r="2" spans="1:11" ht="35.450000000000003" customHeight="1" x14ac:dyDescent="0.25">
      <c r="A2" s="33" t="s">
        <v>28</v>
      </c>
      <c r="B2" s="34"/>
      <c r="C2" s="34"/>
      <c r="D2" s="34"/>
      <c r="E2" s="34"/>
      <c r="F2" s="34"/>
      <c r="G2" s="34"/>
      <c r="H2" s="34"/>
      <c r="I2" s="34"/>
      <c r="J2" s="34"/>
      <c r="K2" s="34"/>
    </row>
    <row r="3" spans="1:11" ht="15" customHeight="1" x14ac:dyDescent="0.25">
      <c r="A3" s="6"/>
      <c r="B3" s="7"/>
      <c r="C3" s="7"/>
      <c r="D3" s="7"/>
      <c r="E3" s="7"/>
      <c r="F3" s="7"/>
      <c r="G3" s="7"/>
      <c r="H3" s="7"/>
      <c r="I3" s="7"/>
      <c r="J3" s="7"/>
      <c r="K3" s="7"/>
    </row>
    <row r="4" spans="1:11" ht="22.5" customHeight="1" x14ac:dyDescent="0.25">
      <c r="A4" s="35" t="s">
        <v>0</v>
      </c>
      <c r="B4" s="35" t="s">
        <v>21</v>
      </c>
      <c r="C4" s="35" t="s">
        <v>17</v>
      </c>
      <c r="D4" s="35" t="s">
        <v>26</v>
      </c>
      <c r="E4" s="35" t="s">
        <v>29</v>
      </c>
      <c r="F4" s="35" t="s">
        <v>18</v>
      </c>
      <c r="G4" s="35"/>
      <c r="H4" s="35"/>
      <c r="I4" s="35"/>
      <c r="J4" s="35" t="s">
        <v>19</v>
      </c>
      <c r="K4" s="35" t="s">
        <v>20</v>
      </c>
    </row>
    <row r="5" spans="1:11" ht="69" customHeight="1" x14ac:dyDescent="0.25">
      <c r="A5" s="36"/>
      <c r="B5" s="36"/>
      <c r="C5" s="36"/>
      <c r="D5" s="36"/>
      <c r="E5" s="36"/>
      <c r="F5" s="5" t="s">
        <v>22</v>
      </c>
      <c r="G5" s="5" t="s">
        <v>23</v>
      </c>
      <c r="H5" s="5" t="s">
        <v>24</v>
      </c>
      <c r="I5" s="5" t="s">
        <v>25</v>
      </c>
      <c r="J5" s="36"/>
      <c r="K5" s="36"/>
    </row>
    <row r="6" spans="1:11" s="8" customFormat="1" ht="69" customHeight="1" x14ac:dyDescent="0.25">
      <c r="A6" s="20" t="s">
        <v>6</v>
      </c>
      <c r="B6" s="17" t="s">
        <v>78</v>
      </c>
      <c r="C6" s="16" t="s">
        <v>80</v>
      </c>
      <c r="D6" s="19">
        <v>83</v>
      </c>
      <c r="E6" s="18">
        <f>SUM(F6:I6)</f>
        <v>147.25</v>
      </c>
      <c r="F6" s="18"/>
      <c r="G6" s="18">
        <f>155-7.75</f>
        <v>147.25</v>
      </c>
      <c r="H6" s="18"/>
      <c r="I6" s="18"/>
      <c r="J6" s="18">
        <v>43</v>
      </c>
      <c r="K6" s="25" t="s">
        <v>79</v>
      </c>
    </row>
    <row r="7" spans="1:11" s="22" customFormat="1" ht="14.25" x14ac:dyDescent="0.2">
      <c r="A7" s="31" t="s">
        <v>77</v>
      </c>
      <c r="B7" s="32"/>
      <c r="C7" s="23"/>
      <c r="D7" s="26">
        <f>D6</f>
        <v>83</v>
      </c>
      <c r="E7" s="23">
        <f>E6</f>
        <v>147.25</v>
      </c>
      <c r="F7" s="23">
        <f t="shared" ref="F7:J7" si="0">F6</f>
        <v>0</v>
      </c>
      <c r="G7" s="23">
        <f t="shared" si="0"/>
        <v>147.25</v>
      </c>
      <c r="H7" s="23">
        <f t="shared" si="0"/>
        <v>0</v>
      </c>
      <c r="I7" s="23">
        <f t="shared" si="0"/>
        <v>0</v>
      </c>
      <c r="J7" s="23">
        <f t="shared" si="0"/>
        <v>43</v>
      </c>
      <c r="K7" s="23"/>
    </row>
  </sheetData>
  <mergeCells count="11">
    <mergeCell ref="A7:B7"/>
    <mergeCell ref="A1:K1"/>
    <mergeCell ref="A2:K2"/>
    <mergeCell ref="A4:A5"/>
    <mergeCell ref="B4:B5"/>
    <mergeCell ref="C4:C5"/>
    <mergeCell ref="D4:D5"/>
    <mergeCell ref="E4:E5"/>
    <mergeCell ref="F4:I4"/>
    <mergeCell ref="J4:J5"/>
    <mergeCell ref="K4:K5"/>
  </mergeCell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8"/>
  <sheetViews>
    <sheetView workbookViewId="0">
      <selection activeCell="C15" sqref="C15"/>
    </sheetView>
  </sheetViews>
  <sheetFormatPr defaultRowHeight="15" x14ac:dyDescent="0.25"/>
  <cols>
    <col min="1" max="1" width="5.42578125" customWidth="1"/>
    <col min="2" max="2" width="58" customWidth="1"/>
    <col min="3" max="3" width="11.140625" customWidth="1"/>
    <col min="4" max="4" width="11.85546875" bestFit="1" customWidth="1"/>
    <col min="5" max="6" width="9.28515625" bestFit="1" customWidth="1"/>
    <col min="7" max="7" width="11.140625" customWidth="1"/>
    <col min="8" max="8" width="12.42578125" customWidth="1"/>
  </cols>
  <sheetData>
    <row r="1" spans="1:9" ht="15.75" x14ac:dyDescent="0.25">
      <c r="A1" s="33" t="s">
        <v>30</v>
      </c>
      <c r="B1" s="34"/>
      <c r="C1" s="34"/>
      <c r="D1" s="34"/>
      <c r="E1" s="34"/>
      <c r="F1" s="34"/>
      <c r="G1" s="34"/>
      <c r="H1" s="34"/>
      <c r="I1" s="34"/>
    </row>
    <row r="2" spans="1:9" ht="26.1" customHeight="1" x14ac:dyDescent="0.25">
      <c r="A2" s="33" t="s">
        <v>31</v>
      </c>
      <c r="B2" s="34"/>
      <c r="C2" s="34"/>
      <c r="D2" s="34"/>
      <c r="E2" s="34"/>
      <c r="F2" s="34"/>
      <c r="G2" s="34"/>
      <c r="H2" s="34"/>
      <c r="I2" s="34"/>
    </row>
    <row r="3" spans="1:9" ht="15" customHeight="1" x14ac:dyDescent="0.25">
      <c r="A3" s="6"/>
      <c r="B3" s="7"/>
      <c r="C3" s="7"/>
      <c r="D3" s="7"/>
      <c r="E3" s="7"/>
      <c r="F3" s="7"/>
      <c r="G3" s="7"/>
      <c r="H3" s="7"/>
      <c r="I3" s="7"/>
    </row>
    <row r="4" spans="1:9" ht="22.5" customHeight="1" x14ac:dyDescent="0.25">
      <c r="A4" s="35" t="s">
        <v>0</v>
      </c>
      <c r="B4" s="35" t="s">
        <v>21</v>
      </c>
      <c r="C4" s="35" t="s">
        <v>29</v>
      </c>
      <c r="D4" s="35" t="s">
        <v>18</v>
      </c>
      <c r="E4" s="35"/>
      <c r="F4" s="35"/>
      <c r="G4" s="35"/>
      <c r="H4" s="35" t="s">
        <v>19</v>
      </c>
      <c r="I4" s="35" t="s">
        <v>20</v>
      </c>
    </row>
    <row r="5" spans="1:9" ht="51" customHeight="1" x14ac:dyDescent="0.25">
      <c r="A5" s="36"/>
      <c r="B5" s="36"/>
      <c r="C5" s="36"/>
      <c r="D5" s="27" t="s">
        <v>22</v>
      </c>
      <c r="E5" s="27" t="s">
        <v>23</v>
      </c>
      <c r="F5" s="27" t="s">
        <v>24</v>
      </c>
      <c r="G5" s="27" t="s">
        <v>25</v>
      </c>
      <c r="H5" s="36"/>
      <c r="I5" s="36"/>
    </row>
    <row r="6" spans="1:9" s="8" customFormat="1" ht="21.6" customHeight="1" x14ac:dyDescent="0.25">
      <c r="A6" s="20" t="s">
        <v>6</v>
      </c>
      <c r="B6" s="18" t="s">
        <v>32</v>
      </c>
      <c r="C6" s="21">
        <f>SUM(D6:G6)</f>
        <v>12024.214421000001</v>
      </c>
      <c r="D6" s="21">
        <f>'[2]ĐT (chi tiết)'!$E$64+[3]VSN!$D$123</f>
        <v>12024.214421000001</v>
      </c>
      <c r="E6" s="21"/>
      <c r="F6" s="21"/>
      <c r="G6" s="21"/>
      <c r="H6" s="21">
        <f>'[2]ĐT (chi tiết)'!$J$64+[3]VSN!$I$123</f>
        <v>5303.085</v>
      </c>
      <c r="I6" s="18"/>
    </row>
    <row r="7" spans="1:9" s="8" customFormat="1" ht="21.6" customHeight="1" x14ac:dyDescent="0.25">
      <c r="A7" s="20" t="s">
        <v>7</v>
      </c>
      <c r="B7" s="18" t="s">
        <v>33</v>
      </c>
      <c r="C7" s="21">
        <f>SUM(D7:G7)</f>
        <v>110299.165091</v>
      </c>
      <c r="D7" s="21">
        <f>'[2]ĐT (chi tiết)'!$E$11+[3]VSN!$D$10</f>
        <v>110299.165091</v>
      </c>
      <c r="E7" s="21"/>
      <c r="F7" s="21"/>
      <c r="G7" s="21"/>
      <c r="H7" s="21">
        <f>'[2]ĐT (chi tiết)'!$J$11+[3]VSN!$I$10</f>
        <v>36618.400789000007</v>
      </c>
      <c r="I7" s="18"/>
    </row>
    <row r="8" spans="1:9" s="22" customFormat="1" ht="19.5" customHeight="1" x14ac:dyDescent="0.2">
      <c r="A8" s="37" t="s">
        <v>81</v>
      </c>
      <c r="B8" s="38"/>
      <c r="C8" s="24">
        <f>SUM(C6:C7)</f>
        <v>122323.379512</v>
      </c>
      <c r="D8" s="24">
        <f t="shared" ref="D8:H8" si="0">SUM(D6:D7)</f>
        <v>122323.379512</v>
      </c>
      <c r="E8" s="24">
        <f t="shared" si="0"/>
        <v>0</v>
      </c>
      <c r="F8" s="24">
        <f t="shared" si="0"/>
        <v>0</v>
      </c>
      <c r="G8" s="24">
        <f t="shared" si="0"/>
        <v>0</v>
      </c>
      <c r="H8" s="24">
        <f t="shared" si="0"/>
        <v>41921.485789000006</v>
      </c>
      <c r="I8" s="23"/>
    </row>
  </sheetData>
  <mergeCells count="9">
    <mergeCell ref="A8:B8"/>
    <mergeCell ref="A1:I1"/>
    <mergeCell ref="A2:I2"/>
    <mergeCell ref="A4:A5"/>
    <mergeCell ref="B4:B5"/>
    <mergeCell ref="C4:C5"/>
    <mergeCell ref="D4:G4"/>
    <mergeCell ref="H4:H5"/>
    <mergeCell ref="I4:I5"/>
  </mergeCells>
  <pageMargins left="0.70866141732283472" right="0.70866141732283472" top="0.74803149606299213" bottom="0.74803149606299213"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phu luc 01</vt:lpstr>
      <vt:lpstr>Phu luc 02</vt:lpstr>
      <vt:lpstr>Phu luc 03</vt:lpstr>
      <vt:lpstr>Phu luc 04</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ASUS</cp:lastModifiedBy>
  <cp:lastPrinted>2024-10-13T04:54:57Z</cp:lastPrinted>
  <dcterms:created xsi:type="dcterms:W3CDTF">2024-10-13T04:02:42Z</dcterms:created>
  <dcterms:modified xsi:type="dcterms:W3CDTF">2024-11-19T13:02:42Z</dcterms:modified>
</cp:coreProperties>
</file>